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EstaPasta_de_trabalho" defaultThemeVersion="166925"/>
  <mc:AlternateContent xmlns:mc="http://schemas.openxmlformats.org/markup-compatibility/2006">
    <mc:Choice Requires="x15">
      <x15ac:absPath xmlns:x15ac="http://schemas.microsoft.com/office/spreadsheetml/2010/11/ac" url="Z:\SUBSPURB\M.DREN_VV_CARIAC_OBRAS\GALERIAS SANTA RITA\15 - MEDICOES\28ª medição\"/>
    </mc:Choice>
  </mc:AlternateContent>
  <xr:revisionPtr revIDLastSave="0" documentId="13_ncr:1_{7495459B-743B-4682-8CC8-320337E530B4}" xr6:coauthVersionLast="47" xr6:coauthVersionMax="47" xr10:uidLastSave="{00000000-0000-0000-0000-000000000000}"/>
  <bookViews>
    <workbookView xWindow="-120" yWindow="-120" windowWidth="29040" windowHeight="15720" tabRatio="897" activeTab="2" xr2:uid="{00000000-000D-0000-FFFF-FFFF00000000}"/>
  </bookViews>
  <sheets>
    <sheet name="10 - RESUMO" sheetId="1" r:id="rId1"/>
    <sheet name="Relatório Fotográfico " sheetId="4" r:id="rId2"/>
    <sheet name="11 - FINANCEIRA" sheetId="2" r:id="rId3"/>
    <sheet name="12 - CORPO" sheetId="3" r:id="rId4"/>
    <sheet name="CRONOGRAMA" sheetId="5" r:id="rId5"/>
    <sheet name="Projeto Tampas "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0">#REF!</definedName>
    <definedName name="\1">[1]PLANILHA!#REF!</definedName>
    <definedName name="\11">[2]PLANILHA!#REF!</definedName>
    <definedName name="\ates\z" localSheetId="0">#REF!</definedName>
    <definedName name="\C">#REF!</definedName>
    <definedName name="\D">#REF!</definedName>
    <definedName name="\f">#N/A</definedName>
    <definedName name="\G">#REF!</definedName>
    <definedName name="\I">#REF!</definedName>
    <definedName name="\M">#REF!</definedName>
    <definedName name="\P">#REF!</definedName>
    <definedName name="\q">'[3]Bm 8'!#REF!</definedName>
    <definedName name="\R">#REF!</definedName>
    <definedName name="\s">'[3]Bm 8'!#REF!</definedName>
    <definedName name="\w">[4]PLANILHA!#REF!</definedName>
    <definedName name="\x">'[3]Bm 8'!#REF!</definedName>
    <definedName name="\Y">#REF!</definedName>
    <definedName name="_">#REF!</definedName>
    <definedName name="____________BOR1">'[3]Bm 8'!#REF!</definedName>
    <definedName name="___________BOR1">'[3]Bm 8'!#REF!</definedName>
    <definedName name="__________BOR1">'[3]Bm 8'!#REF!</definedName>
    <definedName name="_________BOR1">'[3]Bm 8'!#REF!</definedName>
    <definedName name="________BOR1">'[3]Bm 8'!#REF!</definedName>
    <definedName name="________NIL1">#REF!</definedName>
    <definedName name="_______BOR1">'[3]Bm 8'!#REF!</definedName>
    <definedName name="_______NIL1">#REF!</definedName>
    <definedName name="______BOR1">'[3]Bm 8'!#REF!</definedName>
    <definedName name="______NIL1">#REF!</definedName>
    <definedName name="_____BOR1">'[3]Bm 8'!#REF!</definedName>
    <definedName name="____BOR1">'[3]Bm 8'!#REF!</definedName>
    <definedName name="____NIL1">#REF!</definedName>
    <definedName name="___BOR1">'[3]Bm 8'!#REF!</definedName>
    <definedName name="___NIL1">#REF!</definedName>
    <definedName name="___R">#REF!</definedName>
    <definedName name="__123Graph_A" hidden="1">[5]A!$AF$59:$AF$65</definedName>
    <definedName name="__123Graph_B" hidden="1">[5]A!$AG$58:$AG$64</definedName>
    <definedName name="__123Graph_D" hidden="1">'[6]Etapa Única'!$C$125:$C$134</definedName>
    <definedName name="__123Graph_E" hidden="1">'[6]Etapa Única'!$E$125:$E$134</definedName>
    <definedName name="__123Graph_X" hidden="1">[5]A!$AE$59:$AE$65</definedName>
    <definedName name="__BOR1">'[3]Bm 8'!#REF!</definedName>
    <definedName name="__MDO1">#REF!</definedName>
    <definedName name="__MDO2">#REF!</definedName>
    <definedName name="__NIL1">#REF!</definedName>
    <definedName name="__R">#REF!</definedName>
    <definedName name="_01">'[7]38'!$B$1</definedName>
    <definedName name="_02">'[7]38'!$B$2:$C$2</definedName>
    <definedName name="_03">'[7]38'!$B$3:$D$3</definedName>
    <definedName name="_04">'[7]38'!$B$4:$E$4</definedName>
    <definedName name="_05">'[7]38'!$B$5:$F$5</definedName>
    <definedName name="_06">'[7]38'!$B$6:$G$6</definedName>
    <definedName name="_07">'[7]38'!$B$7:$H$7</definedName>
    <definedName name="_08">'[7]38'!$B$8:$I$8</definedName>
    <definedName name="_09">'[7]38'!$B$9:$J$9</definedName>
    <definedName name="_10">'[7]38'!$B$10:$K$10</definedName>
    <definedName name="_11">'[7]38'!$B$11:$L$11</definedName>
    <definedName name="_12">'[7]38'!$B$12:$M$12</definedName>
    <definedName name="_13">'[7]38'!$B$13:$N$13</definedName>
    <definedName name="_14">'[7]38'!$B$14:$O$14</definedName>
    <definedName name="_15">'[7]38'!$B$15:$P$15</definedName>
    <definedName name="_16">'[7]38'!$B$16:$Q$16</definedName>
    <definedName name="_16.3___VEÍCULOS">'[8]16-EQUIP.'!#REF!</definedName>
    <definedName name="_16.4___COMBÚSTIVEL">'[8]16-EQUIP.'!#REF!</definedName>
    <definedName name="_16.5___EQUIPAMENTOS_DE_ESCRITÓRIO">'[8]16-EQUIP.'!#REF!</definedName>
    <definedName name="_17">'[7]38'!$B$17:$R$17</definedName>
    <definedName name="_17.1_MENSALISTA">'[8]17-MOI'!#REF!</definedName>
    <definedName name="_17.2___HORISTA">'[8]17-MOI'!#REF!</definedName>
    <definedName name="_18">'[7]38'!$B$18:$S$18</definedName>
    <definedName name="_18___CANTEIRO___INSTALAÇÃO___MANUTENÇÃO">#REF!</definedName>
    <definedName name="_19">'[7]38'!$B$19:$T$19</definedName>
    <definedName name="_1Excel_BuiltIn_Print_Area_3_1">#REF!</definedName>
    <definedName name="_20">'[7]38'!$B$20:$U$20</definedName>
    <definedName name="_21">'[7]38'!$B$21:$V$21</definedName>
    <definedName name="_22">'[7]38'!$B$22:$W$22</definedName>
    <definedName name="_23">'[7]38'!$B$23:$X$23</definedName>
    <definedName name="_24">'[7]38'!$B$24:$Y$24</definedName>
    <definedName name="_25">'[7]38'!$B$25:$Z$25</definedName>
    <definedName name="_26">'[7]38'!$B$26:$AA$26</definedName>
    <definedName name="_27">'[7]38'!$B$27:$AB$27</definedName>
    <definedName name="_28">'[7]38'!$B$28:$AC$28</definedName>
    <definedName name="_29">'[7]38'!$B$29:$AD$29</definedName>
    <definedName name="_2Excel_BuiltIn_Print_Titles_1_1">#REF!,#REF!</definedName>
    <definedName name="_30">'[7]38'!$B$30:$AE$30</definedName>
    <definedName name="_31">'[7]38'!$B$31:$AF$31</definedName>
    <definedName name="_32">'[7]38'!$B$32:$AG$32</definedName>
    <definedName name="_33">'[7]38'!$B$33:$AH$33</definedName>
    <definedName name="_34">'[7]38'!$B$34:$AI$34</definedName>
    <definedName name="_35">'[7]38'!$B$35:$AJ$35</definedName>
    <definedName name="_36">'[7]38'!$B$36:$AK$36</definedName>
    <definedName name="_37">'[7]38'!$B$37:$AL$37</definedName>
    <definedName name="_38">'[7]38'!$B$38:$AM$38</definedName>
    <definedName name="_39">'[7]38'!$B$39:$AN$39</definedName>
    <definedName name="_3Excel_BuiltIn_Print_Titles_1_1">#REF!,#REF!</definedName>
    <definedName name="_40">'[7]38'!$B$40:$AO$40</definedName>
    <definedName name="_41">'[7]38'!$B$41:$AP$41</definedName>
    <definedName name="_42">'[7]38'!$B$42:$AQ$42</definedName>
    <definedName name="_43">'[7]38'!$B$43:$AR$43</definedName>
    <definedName name="_44">'[7]38'!$B$44:$AS$44</definedName>
    <definedName name="_45">'[7]38'!$B$45:$AT$45</definedName>
    <definedName name="_46">'[7]38'!$B$46:$AU$46</definedName>
    <definedName name="_47">'[7]38'!$B$47:$AV$47</definedName>
    <definedName name="_48">'[7]38'!$B$48:$AW$48</definedName>
    <definedName name="_49">'[7]38'!$B$49:$AX$49</definedName>
    <definedName name="_50">'[7]38'!$B$50:$AY$50</definedName>
    <definedName name="_51">'[7]38'!$B$51:$AZ$51</definedName>
    <definedName name="_52">'[7]38'!$B$52:$BA$52</definedName>
    <definedName name="_53">'[7]38'!$B$53:$BB$53</definedName>
    <definedName name="_6Excel_BuiltIn_Print_Titles_2_1_1">(#REF!,#REF!)</definedName>
    <definedName name="_BOR1">'[3]Bm 8'!#REF!</definedName>
    <definedName name="_C">[9]Reforma!#REF!</definedName>
    <definedName name="_C_1">[9]Reforma!#REF!</definedName>
    <definedName name="_D">[9]Reforma!#REF!</definedName>
    <definedName name="_D_1">[9]Reforma!#REF!</definedName>
    <definedName name="_FCCEMED_">#REF!</definedName>
    <definedName name="_Fill" hidden="1">#REF!</definedName>
    <definedName name="_xlnm._FilterDatabase" localSheetId="0" hidden="1">'10 - RESUMO'!$A$14:$H$132</definedName>
    <definedName name="_xlnm._FilterDatabase" localSheetId="2" hidden="1">'11 - FINANCEIRA'!$A$14:$AF$157</definedName>
    <definedName name="_xlnm._FilterDatabase" localSheetId="3" hidden="1">'12 - CORPO'!$V$1:$V$2258</definedName>
    <definedName name="_G">[9]Reforma!#REF!</definedName>
    <definedName name="_G_1">[9]Reforma!#REF!</definedName>
    <definedName name="_GOTO_D1_">#REF!</definedName>
    <definedName name="_GOTO_E1_">#REF!</definedName>
    <definedName name="_GOTO_N1_">#REF!</definedName>
    <definedName name="_HOME__">#REF!</definedName>
    <definedName name="_I">[9]Reforma!#REF!</definedName>
    <definedName name="_I_1">[9]Reforma!#REF!</definedName>
    <definedName name="_Key1" hidden="1">#REF!</definedName>
    <definedName name="_M">[9]Reforma!#REF!</definedName>
    <definedName name="_M_1">[9]Reforma!#REF!</definedName>
    <definedName name="_MDO1">#REF!</definedName>
    <definedName name="_MDO2">#REF!</definedName>
    <definedName name="_MM" hidden="1">#REF!</definedName>
    <definedName name="_NIL1">#REF!</definedName>
    <definedName name="_Order1" hidden="1">255</definedName>
    <definedName name="_P">[9]Reforma!#REF!</definedName>
    <definedName name="_P_1">[9]Reforma!#REF!</definedName>
    <definedName name="_planilhapu">#REF!</definedName>
    <definedName name="_PPOS015Q_AGPQ_">#REF!</definedName>
    <definedName name="_PPOS015Q_AGPQ__6">#REF!</definedName>
    <definedName name="_PVC100">#REF!</definedName>
    <definedName name="_PVC150">#REF!</definedName>
    <definedName name="_PVC50">#REF!</definedName>
    <definedName name="_PVC75">#REF!</definedName>
    <definedName name="_QUAN" hidden="1">{#N/A,#N/A,FALSE,"MO (2)"}</definedName>
    <definedName name="_R">[9]Reforma!#REF!</definedName>
    <definedName name="_R_1">[9]Reforma!#REF!</definedName>
    <definedName name="_REA1.N10_">#REF!</definedName>
    <definedName name="_Sort" hidden="1">#REF!</definedName>
    <definedName name="_VBF1">#REF!</definedName>
    <definedName name="_VE1">#REF!</definedName>
    <definedName name="_VO1">[10]MEMORIAL!#REF!</definedName>
    <definedName name="_VR1">#REF!</definedName>
    <definedName name="_WCS13_">#REF!</definedName>
    <definedName name="_WCS43_">#REF!</definedName>
    <definedName name="_WDCN1.S1_">#REF!</definedName>
    <definedName name="_WGZY_">#REF!</definedName>
    <definedName name="_WGZY__6">#REF!</definedName>
    <definedName name="_WICE1_">#REF!</definedName>
    <definedName name="_WIRA1.A8_">#REF!</definedName>
    <definedName name="_Y">[9]Reforma!#REF!</definedName>
    <definedName name="_Y_1">[9]Reforma!#REF!</definedName>
    <definedName name="A" localSheetId="0">#REF!</definedName>
    <definedName name="A__1">[10]MEMORIAL!#REF!</definedName>
    <definedName name="A__1_1">[10]MEMORIAL!#REF!</definedName>
    <definedName name="A__2">[10]MEMORIAL!#REF!</definedName>
    <definedName name="A__2_1">[10]MEMORIAL!#REF!</definedName>
    <definedName name="A__3">[10]MEMORIAL!#REF!</definedName>
    <definedName name="A__3_1">[10]MEMORIAL!#REF!</definedName>
    <definedName name="A__4">[10]MEMORIAL!#REF!</definedName>
    <definedName name="A__4_1">[10]MEMORIAL!#REF!</definedName>
    <definedName name="A__5">[10]MEMORIAL!#REF!</definedName>
    <definedName name="A__5_1">[10]MEMORIAL!#REF!</definedName>
    <definedName name="A__6">[10]MEMORIAL!#REF!</definedName>
    <definedName name="A__6_1">[10]MEMORIAL!#REF!</definedName>
    <definedName name="A_1">[10]MEMORIAL!#REF!</definedName>
    <definedName name="A_1_1">[10]MEMORIAL!#REF!</definedName>
    <definedName name="A_2">[10]MEMORIAL!#REF!</definedName>
    <definedName name="A_2_1">[10]MEMORIAL!#REF!</definedName>
    <definedName name="A_3">[10]MEMORIAL!#REF!</definedName>
    <definedName name="A_3_1">[10]MEMORIAL!#REF!</definedName>
    <definedName name="A_4">[10]MEMORIAL!#REF!</definedName>
    <definedName name="a1B16279">#REF!</definedName>
    <definedName name="Aa" localSheetId="0">#REF!</definedName>
    <definedName name="AAA">#REF!</definedName>
    <definedName name="AAAA">'[11]PLANILHA DE QUANT. E CUSTOS A'!#REF!</definedName>
    <definedName name="aaaaa">'[11]PLANILHA DE QUANT. E CUSTOS A'!#REF!</definedName>
    <definedName name="aaaaaa2">#REF!,#REF!</definedName>
    <definedName name="AAAAAAAA">#REF!,#REF!</definedName>
    <definedName name="aaaaaaaaaaa">#REF!,#REF!</definedName>
    <definedName name="AB">'[11]PLANILHA DE QUANT. E CUSTOS A'!#REF!</definedName>
    <definedName name="ABC" localSheetId="0">#REF!</definedName>
    <definedName name="Ac">#REF!</definedName>
    <definedName name="acha.coluna">#REF!</definedName>
    <definedName name="acha.dados">#REF!</definedName>
    <definedName name="acha.linha">#REF!</definedName>
    <definedName name="ACRESC.22">#REF!</definedName>
    <definedName name="Adut" hidden="1">#REF!</definedName>
    <definedName name="ADWEF" localSheetId="0">#REF!</definedName>
    <definedName name="ADWEF_1" localSheetId="0">#REF!</definedName>
    <definedName name="ADWEFF">#REF!</definedName>
    <definedName name="AF">'[11]PLANILHA DE QUANT. E CUSTOS A'!#REF!</definedName>
    <definedName name="AJUDA">#REF!</definedName>
    <definedName name="Ala">'[3]Bm 8'!#REF!</definedName>
    <definedName name="Alex">#REF!</definedName>
    <definedName name="ALIAS">#REF!</definedName>
    <definedName name="ANA">'[12]Refor Out. 2001 - BDI=20% Ajust'!#REF!</definedName>
    <definedName name="ANEXO_10_MATRIZ_DE_RESPONSABILIDADE">#REF!</definedName>
    <definedName name="anexo_I">#REF!</definedName>
    <definedName name="APARENTE">#REF!</definedName>
    <definedName name="area">'[13]BAIXO GUANDU ITAIMBE'!#REF!</definedName>
    <definedName name="_xlnm.Print_Area" localSheetId="0">'10 - RESUMO'!$B$1:$E$163</definedName>
    <definedName name="_xlnm.Print_Area" localSheetId="2">'11 - FINANCEIRA'!$A$2:$AE$161</definedName>
    <definedName name="_xlnm.Print_Area" localSheetId="3">'12 - CORPO'!$A$1:$U$1929</definedName>
    <definedName name="_xlnm.Print_Area" localSheetId="4">CRONOGRAMA!$A$1:$EO$57</definedName>
    <definedName name="_xlnm.Print_Area" localSheetId="1">'Relatório Fotográfico '!$A$1:$N$366</definedName>
    <definedName name="_xlnm.Print_Area">#REF!</definedName>
    <definedName name="Área_impressão_IM">"$#REF!.$A$1:$H$39"</definedName>
    <definedName name="Área_impressão_IM_1">"$#REF!.$A$1:$H$39"</definedName>
    <definedName name="Área_impressão_IM_5">"$#REF!.$A$1:$H$39"</definedName>
    <definedName name="areia">'[13]BAIXO GUANDU ITAIMBE'!#REF!</definedName>
    <definedName name="arta">#REF!</definedName>
    <definedName name="as" localSheetId="0">#REF!</definedName>
    <definedName name="asa">#REF!</definedName>
    <definedName name="ASDASDASD">#REF!</definedName>
    <definedName name="asdf" localSheetId="0">#REF!</definedName>
    <definedName name="ASDSSS" localSheetId="0">#REF!</definedName>
    <definedName name="ASFALTO">#REF!</definedName>
    <definedName name="ASFALTO_1">#REF!</definedName>
    <definedName name="ASPECTO_ARQ">[14]Plan1!$A$145:$A$148</definedName>
    <definedName name="ATA_DE_REUNIÃO">#REF!</definedName>
    <definedName name="ATERRO">#REF!</definedName>
    <definedName name="ATERRO_100">#REF!</definedName>
    <definedName name="AUXILIARES">#REF!</definedName>
    <definedName name="B">#REF!</definedName>
    <definedName name="B_MEC">#REF!</definedName>
    <definedName name="Banco_dados_IM">#REF!</definedName>
    <definedName name="_xlnm.Database">#REF!</definedName>
    <definedName name="BBB">#REF!</definedName>
    <definedName name="BBBB">'[11]PLANILHA DE QUANT. E CUSTOS A'!#REF!</definedName>
    <definedName name="BBBBBBB">#REF!</definedName>
    <definedName name="BC">#REF!</definedName>
    <definedName name="BDD_01">#REF!</definedName>
    <definedName name="BDI">#REF!</definedName>
    <definedName name="BDIc">#REF!</definedName>
    <definedName name="BDIf">#REF!</definedName>
    <definedName name="BDTC100">#REF!</definedName>
    <definedName name="BF">[15]MEMORIAL!#REF!</definedName>
    <definedName name="BF_1">[16]MEMORIAL!#REF!</definedName>
    <definedName name="BG">#REF!</definedName>
    <definedName name="BLOCO">[4]PLANILHA!#REF!</definedName>
    <definedName name="BLOCRET">#REF!</definedName>
    <definedName name="BLOCRET_1">#REF!</definedName>
    <definedName name="BRITAS">#REF!</definedName>
    <definedName name="BTTC1200">#REF!</definedName>
    <definedName name="BTTC12001">'[11]PLANILHA DE QUANT. E CUSTOS A'!#REF!</definedName>
    <definedName name="BTTC1200ADASDS" localSheetId="0">#REF!</definedName>
    <definedName name="cadm">#REF!</definedName>
    <definedName name="carlos">[9]Reforma!#REF!</definedName>
    <definedName name="CASH_FLOW">#REF!</definedName>
    <definedName name="CBUQ">#REF!,#REF!</definedName>
    <definedName name="cbuq2">#REF!,#REF!</definedName>
    <definedName name="ccc">#REF!,#REF!</definedName>
    <definedName name="CCCCCCCCCCCCCCCC" localSheetId="0">#REF!</definedName>
    <definedName name="CCCCCCCCCCCCCCCCC" localSheetId="0">#REF!</definedName>
    <definedName name="ciclopico">[16]MEMORIAL!#REF!</definedName>
    <definedName name="ciclopico_1">[16]MEMORIAL!#REF!</definedName>
    <definedName name="Cliente">#REF!</definedName>
    <definedName name="Código">#REF!</definedName>
    <definedName name="COMPLETO">#REF!</definedName>
    <definedName name="COMPOSICAO01">#REF!</definedName>
    <definedName name="COMPOSIÇÃO01">#REF!</definedName>
    <definedName name="COMPOSICAO01_1">#REF!</definedName>
    <definedName name="COMPOSICAO02">#REF!</definedName>
    <definedName name="COMPOSICAO02_1">#REF!</definedName>
    <definedName name="Comprimento_Equivalente">#REF!</definedName>
    <definedName name="concciclo">#REF!</definedName>
    <definedName name="concreto">#REF!</definedName>
    <definedName name="CONDICOES_ACESSO">[14]Plan1!$A$26:$A$29</definedName>
    <definedName name="Construtora">#REF!</definedName>
    <definedName name="contratada">#REF!</definedName>
    <definedName name="CORTE">#REF!</definedName>
    <definedName name="COTA_GREIDE">[14]Plan1!$A$52:$A$55</definedName>
    <definedName name="CRG_01">[17]CRG!$B$1:$T$747</definedName>
    <definedName name="critério">#REF!</definedName>
    <definedName name="critério1">#REF!</definedName>
    <definedName name="crono">#REF!</definedName>
    <definedName name="cronograma">#REF!</definedName>
    <definedName name="CSA">#REF!</definedName>
    <definedName name="CSA_1">#REF!</definedName>
    <definedName name="CSPP">#REF!</definedName>
    <definedName name="CSPP_1">#REF!</definedName>
    <definedName name="CUSTO_DE_COMBUSTÍVEL_E_LUFRIFICANTES">#REF!</definedName>
    <definedName name="CustoReal">#REF!</definedName>
    <definedName name="cx" hidden="1">{#N/A,#N/A,FALSE,"MO (2)"}</definedName>
    <definedName name="cx." hidden="1">{#N/A,#N/A,FALSE,"MO (2)"}</definedName>
    <definedName name="D">#REF!</definedName>
    <definedName name="daddf">#REF!</definedName>
    <definedName name="DADOS">#REF!</definedName>
    <definedName name="DASDA">#REF!</definedName>
    <definedName name="dat">#REF!</definedName>
    <definedName name="DATA">#REF!</definedName>
    <definedName name="DATA_17">#REF!</definedName>
    <definedName name="DATA_8">#REF!</definedName>
    <definedName name="data1">#REF!</definedName>
    <definedName name="dataf">#REF!</definedName>
    <definedName name="DD">#REF!</definedName>
    <definedName name="DD_2">#REF!</definedName>
    <definedName name="DD_5">#REF!</definedName>
    <definedName name="DDF">#REF!</definedName>
    <definedName name="DEFOFO">#REF!</definedName>
    <definedName name="DEFOFO100">#REF!</definedName>
    <definedName name="DEFOFO150">#REF!</definedName>
    <definedName name="DEFOFO200">#REF!</definedName>
    <definedName name="DEFOFO250">#REF!</definedName>
    <definedName name="DEFOFO300">#REF!</definedName>
    <definedName name="DEMANDA">[14]Plan1!$A$171:$A$174</definedName>
    <definedName name="DEMOLIÇÃO">#REF!</definedName>
    <definedName name="DENSIDADE_HABITACIONAL">[14]Plan1!$A$34:$A$37</definedName>
    <definedName name="DESEMPENHO">[14]Plan1!$A$180:$A$183</definedName>
    <definedName name="DESTERRO">#REF!</definedName>
    <definedName name="df">#REF!</definedName>
    <definedName name="dfdd">#REF!</definedName>
    <definedName name="DFGFGD">#REF!</definedName>
    <definedName name="DFH">'[11]PLANILHA DE QUANT. E CUSTOS A'!#REF!</definedName>
    <definedName name="DIAMETRO">#REF!</definedName>
    <definedName name="DIS">[17]DIS!$C$3:$E$41</definedName>
    <definedName name="DOC">[17]DOC!$B$3:$I$137</definedName>
    <definedName name="dois">#REF!</definedName>
    <definedName name="dre">#REF!</definedName>
    <definedName name="DREN">#REF!</definedName>
    <definedName name="drenag">#REF!</definedName>
    <definedName name="DRENAGEM" localSheetId="0">#REF!</definedName>
    <definedName name="DRENAGEM_17" localSheetId="0">#REF!</definedName>
    <definedName name="DRENAGEM_8" localSheetId="0">#REF!</definedName>
    <definedName name="DSDS">("$#REF!.$A$1:$H$65184~$#REF!.$A$1:$AMJ$14)))))))")</definedName>
    <definedName name="DUDU">'[18]Rede de Distribuição de Água'!#REF!</definedName>
    <definedName name="E">#REF!</definedName>
    <definedName name="EDT">[17]CRG!$B$1:$T$746</definedName>
    <definedName name="ee">[9]Reforma!#REF!</definedName>
    <definedName name="EEE">#REF!</definedName>
    <definedName name="EEEEE">[9]Reforma!#REF!</definedName>
    <definedName name="EEEEEEEEEEEEEEEEEE">#REF!</definedName>
    <definedName name="EFETIVO">#REF!</definedName>
    <definedName name="EMPRE">#REF!</definedName>
    <definedName name="eng">#REF!</definedName>
    <definedName name="Eng.º_Const">#REF!</definedName>
    <definedName name="Eng.º_Super">#REF!</definedName>
    <definedName name="EQUIPAMENTO">#REF!</definedName>
    <definedName name="ER">[19]!PassaExtenso</definedName>
    <definedName name="ES">[9]Reforma!#REF!</definedName>
    <definedName name="Esc.3">#REF!</definedName>
    <definedName name="ESQUADRIAS">[14]Plan1!$A$121:$A$125</definedName>
    <definedName name="ESTABILIDADE">[14]Plan1!$A$163:$A$165</definedName>
    <definedName name="ESTADO_CONSERVACAO">[14]Plan1!$A$134:$A$140</definedName>
    <definedName name="eu" hidden="1">{#N/A,#N/A,FALSE,"MO (2)"}</definedName>
    <definedName name="Excel_BuiltIn__FilterDatabase_1">#REF!</definedName>
    <definedName name="Excel_BuiltIn__FilterDatabase_10">#REF!</definedName>
    <definedName name="Excel_BuiltIn__FilterDatabase_10_12">#REF!</definedName>
    <definedName name="Excel_BuiltIn__FilterDatabase_11">#REF!</definedName>
    <definedName name="Excel_BuiltIn__FilterDatabase_12">#REF!</definedName>
    <definedName name="Excel_BuiltIn__FilterDatabase_2">#REF!</definedName>
    <definedName name="Excel_BuiltIn__FilterDatabase_3">#REF!</definedName>
    <definedName name="Excel_BuiltIn__FilterDatabase_3_1">#REF!</definedName>
    <definedName name="Excel_BuiltIn__FilterDatabase_3_4">#REF!</definedName>
    <definedName name="Excel_BuiltIn__FilterDatabase_4">#REF!</definedName>
    <definedName name="Excel_BuiltIn__FilterDatabase_4_1">'[20]Orientaçao Terraplenagem'!#REF!</definedName>
    <definedName name="Excel_BuiltIn__FilterDatabase_4_10">'[21]Orientaçao Terraplenagem'!#REF!</definedName>
    <definedName name="Excel_BuiltIn__FilterDatabase_5">#REF!</definedName>
    <definedName name="Excel_BuiltIn__FilterDatabase_6">#REF!</definedName>
    <definedName name="Excel_BuiltIn__FilterDatabase_7">"$Terraplenagem.$#REF!$#REF!:$#REF!$#REF!"</definedName>
    <definedName name="Excel_BuiltIn__FilterDatabase_8">"$#REF!.$#REF!$#REF!:$#REF!$#REF!"</definedName>
    <definedName name="Excel_BuiltIn__FilterDatabase_9">"$#REF!.$#REF!$#REF!:$#REF!$#REF!"</definedName>
    <definedName name="Excel_BuiltIn_Database">#REF!</definedName>
    <definedName name="Excel_BuiltIn_Database_1">#REF!</definedName>
    <definedName name="Excel_BuiltIn_Database_6">#REF!</definedName>
    <definedName name="Excel_BuiltIn_Print_Area">"$#REF!.$A$1:$F$145"</definedName>
    <definedName name="Excel_BuiltIn_Print_Area_1" localSheetId="0">#REF!</definedName>
    <definedName name="Excel_BuiltIn_Print_Area_1_1" localSheetId="0">#REF!</definedName>
    <definedName name="Excel_BuiltIn_Print_Area_1_1_1" localSheetId="0">#REF!</definedName>
    <definedName name="Excel_BuiltIn_Print_Area_10_1">#REF!</definedName>
    <definedName name="Excel_BuiltIn_Print_Area_11_1">#REF!</definedName>
    <definedName name="Excel_BuiltIn_Print_Area_11_1_1">#REF!</definedName>
    <definedName name="Excel_BuiltIn_Print_Area_11_1_1_1">#REF!</definedName>
    <definedName name="Excel_BuiltIn_Print_Area_12_1">#REF!</definedName>
    <definedName name="Excel_BuiltIn_Print_Area_12_1_1">#REF!</definedName>
    <definedName name="Excel_BuiltIn_Print_Area_13_1">#REF!</definedName>
    <definedName name="Excel_BuiltIn_Print_Area_14_1">#REF!</definedName>
    <definedName name="Excel_BuiltIn_Print_Area_15">#REF!</definedName>
    <definedName name="Excel_BuiltIn_Print_Area_16">#REF!</definedName>
    <definedName name="Excel_BuiltIn_Print_Area_17">#REF!</definedName>
    <definedName name="Excel_BuiltIn_Print_Area_18">#REF!</definedName>
    <definedName name="Excel_BuiltIn_Print_Area_19">#REF!</definedName>
    <definedName name="Excel_BuiltIn_Print_Area_2_1">#REF!</definedName>
    <definedName name="Excel_BuiltIn_Print_Area_20">#REF!</definedName>
    <definedName name="Excel_BuiltIn_Print_Area_20_1">#REF!</definedName>
    <definedName name="Excel_BuiltIn_Print_Area_21">#REF!</definedName>
    <definedName name="Excel_BuiltIn_Print_Area_22">#REF!</definedName>
    <definedName name="Excel_BuiltIn_Print_Area_23">#REF!</definedName>
    <definedName name="Excel_BuiltIn_Print_Area_24">#REF!</definedName>
    <definedName name="Excel_BuiltIn_Print_Area_24_1">#REF!</definedName>
    <definedName name="Excel_BuiltIn_Print_Area_25">#REF!</definedName>
    <definedName name="Excel_BuiltIn_Print_Area_26">#REF!</definedName>
    <definedName name="Excel_BuiltIn_Print_Area_27">#REF!</definedName>
    <definedName name="Excel_BuiltIn_Print_Area_28">#REF!</definedName>
    <definedName name="Excel_BuiltIn_Print_Area_29">#REF!</definedName>
    <definedName name="Excel_BuiltIn_Print_Area_3">#REF!</definedName>
    <definedName name="Excel_BuiltIn_Print_Area_3_1">#REF!</definedName>
    <definedName name="Excel_BuiltIn_Print_Area_3_1_1">#REF!</definedName>
    <definedName name="Excel_BuiltIn_Print_Area_30">#REF!</definedName>
    <definedName name="Excel_BuiltIn_Print_Area_31">#REF!</definedName>
    <definedName name="Excel_BuiltIn_Print_Area_32">#REF!</definedName>
    <definedName name="Excel_BuiltIn_Print_Area_33">#REF!</definedName>
    <definedName name="Excel_BuiltIn_Print_Area_34">#REF!</definedName>
    <definedName name="Excel_BuiltIn_Print_Area_35">#REF!</definedName>
    <definedName name="Excel_BuiltIn_Print_Area_36">#REF!</definedName>
    <definedName name="Excel_BuiltIn_Print_Area_37">#REF!</definedName>
    <definedName name="Excel_BuiltIn_Print_Area_38">#REF!</definedName>
    <definedName name="Excel_BuiltIn_Print_Area_4">#REF!</definedName>
    <definedName name="Excel_BuiltIn_Print_Area_4_1">#REF!</definedName>
    <definedName name="Excel_BuiltIn_Print_Area_4_1_1">"$#REF!.$A$3:$BN$276"</definedName>
    <definedName name="Excel_BuiltIn_Print_Area_5">"$#REF!.$A$1:$H$302"</definedName>
    <definedName name="Excel_BuiltIn_Print_Area_5_1" localSheetId="0">#REF!</definedName>
    <definedName name="Excel_BuiltIn_Print_Area_5_1_1" localSheetId="0">#REF!</definedName>
    <definedName name="Excel_BuiltIn_Print_Area_5_1_1_1" localSheetId="0">#REF!</definedName>
    <definedName name="Excel_BuiltIn_Print_Area_6">"$#REF!.$A$1:$X$14"</definedName>
    <definedName name="Excel_BuiltIn_Print_Area_6_1">#REF!</definedName>
    <definedName name="Excel_BuiltIn_Print_Area_6_1_1">#REF!</definedName>
    <definedName name="Excel_BuiltIn_Print_Area_7">"$#REF!.$A$1:$G$30"</definedName>
    <definedName name="Excel_BuiltIn_Print_Area_7_1">#REF!</definedName>
    <definedName name="Excel_BuiltIn_Print_Area_7_1_1">#REF!</definedName>
    <definedName name="Excel_BuiltIn_Print_Area_8_1">#REF!</definedName>
    <definedName name="Excel_BuiltIn_Print_Area_9_1">#REF!</definedName>
    <definedName name="Excel_BuiltIn_Print_Area_9_1_1">#REF!</definedName>
    <definedName name="Excel_BuiltIn_Print_Titles_1">#REF!</definedName>
    <definedName name="Excel_BuiltIn_Print_Titles_1_1">#REF!</definedName>
    <definedName name="Excel_BuiltIn_Print_Titles_10">#REF!</definedName>
    <definedName name="Excel_BuiltIn_Print_Titles_11">#REF!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#REF!</definedName>
    <definedName name="Excel_BuiltIn_Print_Titles_2">#REF!</definedName>
    <definedName name="Excel_BuiltIn_Print_Titles_2_1">#REF!</definedName>
    <definedName name="Excel_BuiltIn_Print_Titles_20">#REF!</definedName>
    <definedName name="Excel_BuiltIn_Print_Titles_21">#REF!</definedName>
    <definedName name="Excel_BuiltIn_Print_Titles_22">#REF!</definedName>
    <definedName name="Excel_BuiltIn_Print_Titles_23">#REF!</definedName>
    <definedName name="Excel_BuiltIn_Print_Titles_24">#REF!</definedName>
    <definedName name="Excel_BuiltIn_Print_Titles_25">#REF!</definedName>
    <definedName name="Excel_BuiltIn_Print_Titles_26">#REF!</definedName>
    <definedName name="Excel_BuiltIn_Print_Titles_27">#REF!</definedName>
    <definedName name="Excel_BuiltIn_Print_Titles_28">#REF!</definedName>
    <definedName name="Excel_BuiltIn_Print_Titles_29">#REF!</definedName>
    <definedName name="Excel_BuiltIn_Print_Titles_3">#REF!</definedName>
    <definedName name="Excel_BuiltIn_Print_Titles_3_1">#REF!</definedName>
    <definedName name="Excel_BuiltIn_Print_Titles_3_1_1">#REF!</definedName>
    <definedName name="Excel_BuiltIn_Print_Titles_30">#REF!</definedName>
    <definedName name="Excel_BuiltIn_Print_Titles_31">#REF!</definedName>
    <definedName name="Excel_BuiltIn_Print_Titles_32">#REF!</definedName>
    <definedName name="Excel_BuiltIn_Print_Titles_33">#REF!</definedName>
    <definedName name="Excel_BuiltIn_Print_Titles_34">#REF!</definedName>
    <definedName name="Excel_BuiltIn_Print_Titles_35">#REF!</definedName>
    <definedName name="Excel_BuiltIn_Print_Titles_36">#REF!</definedName>
    <definedName name="Excel_BuiltIn_Print_Titles_37">#REF!</definedName>
    <definedName name="Excel_BuiltIn_Print_Titles_38">#REF!</definedName>
    <definedName name="Excel_BuiltIn_Print_Titles_4">#REF!</definedName>
    <definedName name="Excel_BuiltIn_Print_Titles_4_1">#REF!</definedName>
    <definedName name="Excel_BuiltIn_Print_Titles_5">("$#REF!.$A$1:$H$65184~$#REF!.$A$1:$AMJ$14))))))))))))))))))))))")</definedName>
    <definedName name="Excel_BuiltIn_Print_Titles_5_1">#REF!</definedName>
    <definedName name="Excel_BuiltIn_Print_Titles_5_1_1">#REF!</definedName>
    <definedName name="Excel_BuiltIn_Print_Titles_6">("$#REF!.$A$1:$X$65206~$#REF!.$A$1:$AMJ$7))))))))))))))))))))))")</definedName>
    <definedName name="Excel_BuiltIn_Print_Titles_6_1">#REF!</definedName>
    <definedName name="Excel_BuiltIn_Print_Titles_7">#REF!</definedName>
    <definedName name="Excel_BuiltIn_Print_Titles_9">#REF!</definedName>
    <definedName name="Excel_BuiltIn_Print_Titles_9_1">#REF!</definedName>
    <definedName name="Exist">#REF!</definedName>
    <definedName name="EXTENSÃO">#REF!</definedName>
    <definedName name="EXTENSÃO_1">#REF!</definedName>
    <definedName name="extred100">[22]MEMORIAL!#REF!</definedName>
    <definedName name="EXTREDE">#REF!</definedName>
    <definedName name="EXTREDE_1">#REF!</definedName>
    <definedName name="F" hidden="1">#REF!</definedName>
    <definedName name="FACILID_ESTACIONAMENTO">[14]Plan1!$A$30:$A$33</definedName>
    <definedName name="FatSabadoOut">'[23]TrafContExpan-NoPrint'!$O$5</definedName>
    <definedName name="FatSextaOut">'[23]TrafContExpan-NoPrint'!$O$4</definedName>
    <definedName name="fd">#REF!</definedName>
    <definedName name="FDEee">#REF!</definedName>
    <definedName name="FECHAMENTO_PAREDES">[14]Plan1!$A$101:$A$105</definedName>
    <definedName name="ffdf">#REF!</definedName>
    <definedName name="FFFD">#REF!</definedName>
    <definedName name="fffff" hidden="1">{"'EI 060 02'!$A$1:$K$59"}</definedName>
    <definedName name="FGHFG">#REF!</definedName>
    <definedName name="FINALIDADE">[14]Plan1!$A$8:$A$18</definedName>
    <definedName name="FOFO">#REF!</definedName>
    <definedName name="FOFO150">#REF!</definedName>
    <definedName name="FOFO200">#REF!</definedName>
    <definedName name="FOFO50">#REF!</definedName>
    <definedName name="FOFO75">#REF!</definedName>
    <definedName name="FOFO80">#REF!</definedName>
    <definedName name="FORMATO">[14]Plan1!$A$46:$A$51</definedName>
    <definedName name="Formula">#REF!</definedName>
    <definedName name="Formula_1">#REF!</definedName>
    <definedName name="Formula_10">#REF!</definedName>
    <definedName name="Formula_2">#REF!</definedName>
    <definedName name="Formula_3">#REF!</definedName>
    <definedName name="Formula_4">#REF!</definedName>
    <definedName name="Formula_5">#REF!</definedName>
    <definedName name="Formula_5_1">#REF!</definedName>
    <definedName name="Formula_6">#REF!</definedName>
    <definedName name="Fot" hidden="1">{"'EI 060 02'!$A$1:$K$59"}</definedName>
    <definedName name="FRD">#REF!</definedName>
    <definedName name="frtiop">[24]Planilha!$C$126:$D$130</definedName>
    <definedName name="FUNDAMENTACAO_PRECISAO">[14]Plan1!$A$206:$A$210</definedName>
    <definedName name="FxA">[25]Metodologia!$I$10</definedName>
    <definedName name="FxB">[25]Metodologia!$K$10</definedName>
    <definedName name="FxC">[25]Metodologia!$M$10</definedName>
    <definedName name="FxX">[25]Granulometria!$H$7</definedName>
    <definedName name="g" localSheetId="0">#REF!</definedName>
    <definedName name="GERAL">[1]PLANILHA!#REF!</definedName>
    <definedName name="gfdgh" localSheetId="0">#REF!</definedName>
    <definedName name="ggg">#REF!</definedName>
    <definedName name="ghd" localSheetId="0">#REF!</definedName>
    <definedName name="gil">#REF!</definedName>
    <definedName name="_xlnm.Recorder">#REF!</definedName>
    <definedName name="h">[26]BDI!$E$97</definedName>
    <definedName name="HABITABILIDADE">[14]Plan1!$A$159:$A$162</definedName>
    <definedName name="hd">#REF!</definedName>
    <definedName name="hh">#REF!</definedName>
    <definedName name="HHHHHHHHHHHHHHHHHHHHHH">#REF!</definedName>
    <definedName name="hnc">#REF!</definedName>
    <definedName name="HTML_CodePage" hidden="1">1252</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hush">#REF!</definedName>
    <definedName name="I" hidden="1">[27]Poço!#REF!</definedName>
    <definedName name="Im">#REF!</definedName>
    <definedName name="impress">"$#REF!.$A$1:$O$42"</definedName>
    <definedName name="IMPRESSÃO">#REF!</definedName>
    <definedName name="imprimação">#REF!,#REF!</definedName>
    <definedName name="INCLINACAO">[14]Plan1!$A$56:$A$59</definedName>
    <definedName name="ind">#REF!</definedName>
    <definedName name="ÍND">#REF!</definedName>
    <definedName name="INDICE">#REF!</definedName>
    <definedName name="INDICE_10">[28]Planilha!$C$126:$D$130</definedName>
    <definedName name="INDICE_13">[29]Planilha!$C$126:$D$130</definedName>
    <definedName name="INDICE_16" localSheetId="0">#REF!</definedName>
    <definedName name="INDICE_17" localSheetId="0">#REF!</definedName>
    <definedName name="INDICE_2" localSheetId="0">#REF!</definedName>
    <definedName name="INDICE_5">#REF!</definedName>
    <definedName name="indice2">#REF!</definedName>
    <definedName name="InhaltsvezSUMMEN">'[8]A.2- RESUMO'!#REF!</definedName>
    <definedName name="INSS">#REF!</definedName>
    <definedName name="INSUMOS">[30]MAT!$A$3:$E$249</definedName>
    <definedName name="intemizacao">#REF!</definedName>
    <definedName name="Io">#REF!</definedName>
    <definedName name="ISS">#REF!</definedName>
    <definedName name="IT">#REF!</definedName>
    <definedName name="Item">"'file://Execucao/lobo 1/Renato Lobo/234 MBR/Planilhas/Vargem Grande.xls'#$'Planilha Original'.$A$2:'file://Execucao/lobo 1/Renato Lobo/234 MBR/Planilhas/Vargem Grande.xls'#$'Planilha Original'.$X$3277"</definedName>
    <definedName name="item1">'[31]Plan 2_7'!$A$4:$R$2819</definedName>
    <definedName name="item1.1">#REF!</definedName>
    <definedName name="item1.2">#REF!</definedName>
    <definedName name="item1.3">#REF!</definedName>
    <definedName name="item1.4">#REF!</definedName>
    <definedName name="item1.5">#REF!</definedName>
    <definedName name="item1.6">#REF!</definedName>
    <definedName name="item10.1">#REF!</definedName>
    <definedName name="item10.10">#REF!</definedName>
    <definedName name="item10.11">#REF!</definedName>
    <definedName name="item10.12">#REF!</definedName>
    <definedName name="item10.13">#REF!</definedName>
    <definedName name="item10.14">#REF!</definedName>
    <definedName name="item10.15">#REF!</definedName>
    <definedName name="item10.16">#REF!</definedName>
    <definedName name="item10.17">#REF!</definedName>
    <definedName name="item10.18">#REF!</definedName>
    <definedName name="item10.19">#REF!</definedName>
    <definedName name="item10.2">#REF!</definedName>
    <definedName name="item10.3">#REF!</definedName>
    <definedName name="item10.4">#REF!</definedName>
    <definedName name="item10.5">#REF!</definedName>
    <definedName name="item10.6">#REF!</definedName>
    <definedName name="item10.7">#REF!</definedName>
    <definedName name="item10.8">#REF!</definedName>
    <definedName name="item10.9">#REF!</definedName>
    <definedName name="item11.1">#REF!</definedName>
    <definedName name="item11.10">#REF!</definedName>
    <definedName name="item11.11">#REF!</definedName>
    <definedName name="item11.12">#REF!</definedName>
    <definedName name="item11.13">#REF!</definedName>
    <definedName name="item11.14">#REF!</definedName>
    <definedName name="item11.15">#REF!</definedName>
    <definedName name="item11.16">#REF!</definedName>
    <definedName name="item11.17">#REF!</definedName>
    <definedName name="item11.18">#REF!</definedName>
    <definedName name="item11.19">#REF!</definedName>
    <definedName name="item11.2">#REF!</definedName>
    <definedName name="item11.20">#REF!</definedName>
    <definedName name="item11.21">#REF!</definedName>
    <definedName name="item11.22">#REF!</definedName>
    <definedName name="item11.23">#REF!</definedName>
    <definedName name="item11.24">#REF!</definedName>
    <definedName name="item11.25">#REF!</definedName>
    <definedName name="item11.26">#REF!</definedName>
    <definedName name="item11.27">#REF!</definedName>
    <definedName name="item11.28">#REF!</definedName>
    <definedName name="item11.3">#REF!</definedName>
    <definedName name="item11.4">#REF!</definedName>
    <definedName name="item11.5">#REF!</definedName>
    <definedName name="item11.6">#REF!</definedName>
    <definedName name="item11.7">#REF!</definedName>
    <definedName name="item11.8">#REF!</definedName>
    <definedName name="item11.9">#REF!</definedName>
    <definedName name="item12.0">#REF!</definedName>
    <definedName name="item12.1">#REF!</definedName>
    <definedName name="item12.10">#REF!</definedName>
    <definedName name="item12.11">#REF!</definedName>
    <definedName name="item12.12">#REF!</definedName>
    <definedName name="item12.13">#REF!</definedName>
    <definedName name="item12.14">#REF!</definedName>
    <definedName name="item12.15">#REF!</definedName>
    <definedName name="item12.16">#REF!</definedName>
    <definedName name="item12.17">#REF!</definedName>
    <definedName name="item12.18">#REF!</definedName>
    <definedName name="item12.19">#REF!</definedName>
    <definedName name="item12.2">#REF!</definedName>
    <definedName name="item12.20">#REF!</definedName>
    <definedName name="item12.21">#REF!</definedName>
    <definedName name="item12.22">#REF!</definedName>
    <definedName name="item12.23">#REF!</definedName>
    <definedName name="item12.24">#REF!</definedName>
    <definedName name="item12.25">#REF!</definedName>
    <definedName name="item12.26">#REF!</definedName>
    <definedName name="item12.27">#REF!</definedName>
    <definedName name="item12.3">#REF!</definedName>
    <definedName name="item12.4">#REF!</definedName>
    <definedName name="item12.5">#REF!</definedName>
    <definedName name="item12.6">#REF!</definedName>
    <definedName name="item12.7">#REF!</definedName>
    <definedName name="item12.8">#REF!</definedName>
    <definedName name="item12.9">#REF!</definedName>
    <definedName name="item13.1">#REF!</definedName>
    <definedName name="item13.10">#REF!</definedName>
    <definedName name="item13.11">#REF!</definedName>
    <definedName name="item13.12">#REF!</definedName>
    <definedName name="item13.13">#REF!</definedName>
    <definedName name="item13.2">#REF!</definedName>
    <definedName name="item13.3">#REF!</definedName>
    <definedName name="item13.4">#REF!</definedName>
    <definedName name="item13.5">#REF!</definedName>
    <definedName name="item13.6">#REF!</definedName>
    <definedName name="item13.7">#REF!</definedName>
    <definedName name="item13.8">#REF!</definedName>
    <definedName name="item13.9">#REF!</definedName>
    <definedName name="item14.1">#REF!</definedName>
    <definedName name="item14.2">#REF!</definedName>
    <definedName name="item14.3">#REF!</definedName>
    <definedName name="item14.4">#REF!</definedName>
    <definedName name="item14.5">#REF!</definedName>
    <definedName name="item14.6">#REF!</definedName>
    <definedName name="item15.1">#REF!</definedName>
    <definedName name="item15.10">#REF!</definedName>
    <definedName name="item15.11">#REF!</definedName>
    <definedName name="item15.12">#REF!</definedName>
    <definedName name="item15.13">#REF!</definedName>
    <definedName name="item15.2">#REF!</definedName>
    <definedName name="item15.3">#REF!</definedName>
    <definedName name="item15.4">#REF!</definedName>
    <definedName name="item15.5">#REF!</definedName>
    <definedName name="item15.6">#REF!</definedName>
    <definedName name="item15.7">#REF!</definedName>
    <definedName name="item15.8">#REF!</definedName>
    <definedName name="item15.9">#REF!</definedName>
    <definedName name="item2.1">#REF!</definedName>
    <definedName name="item2.10">#REF!</definedName>
    <definedName name="item2.11">#REF!</definedName>
    <definedName name="item2.12">#REF!</definedName>
    <definedName name="item2.13">#REF!</definedName>
    <definedName name="item2.14">#REF!</definedName>
    <definedName name="item2.15">#REF!</definedName>
    <definedName name="item2.16">#REF!</definedName>
    <definedName name="item2.17">#REF!</definedName>
    <definedName name="item2.18">#REF!</definedName>
    <definedName name="item2.19">#REF!</definedName>
    <definedName name="item2.2">#REF!</definedName>
    <definedName name="item2.20">#REF!</definedName>
    <definedName name="item2.21">#REF!</definedName>
    <definedName name="item2.22">#REF!</definedName>
    <definedName name="item2.23">#REF!</definedName>
    <definedName name="item2.24">#REF!</definedName>
    <definedName name="item2.25">#REF!</definedName>
    <definedName name="item2.26">#REF!</definedName>
    <definedName name="item2.27">#REF!</definedName>
    <definedName name="item2.3">#REF!</definedName>
    <definedName name="item2.4">#REF!</definedName>
    <definedName name="item2.5">#REF!</definedName>
    <definedName name="item2.6">#REF!</definedName>
    <definedName name="item2.7">#REF!</definedName>
    <definedName name="item2.8">#REF!</definedName>
    <definedName name="item2.9">#REF!</definedName>
    <definedName name="item3.1">#REF!</definedName>
    <definedName name="item3.2">#REF!</definedName>
    <definedName name="item3.3">#REF!</definedName>
    <definedName name="item4.1">#REF!</definedName>
    <definedName name="item4.2">#REF!</definedName>
    <definedName name="item4.3">#REF!</definedName>
    <definedName name="item4.4">#REF!</definedName>
    <definedName name="item4.5">#REF!</definedName>
    <definedName name="item4.6">#REF!</definedName>
    <definedName name="item4.7">#REF!</definedName>
    <definedName name="item5.1">#REF!</definedName>
    <definedName name="item5.2">#REF!</definedName>
    <definedName name="item5.3">#REF!</definedName>
    <definedName name="item5.4">#REF!</definedName>
    <definedName name="item5.5">#REF!</definedName>
    <definedName name="item5.6">#REF!</definedName>
    <definedName name="item5.7">#REF!</definedName>
    <definedName name="item6.1">#REF!</definedName>
    <definedName name="item6.2">#REF!</definedName>
    <definedName name="item6.3">#REF!</definedName>
    <definedName name="item6.4">#REF!</definedName>
    <definedName name="item6.5">#REF!</definedName>
    <definedName name="item7.1">#REF!</definedName>
    <definedName name="item7.10">#REF!</definedName>
    <definedName name="item7.11">#REF!</definedName>
    <definedName name="item7.12">#REF!</definedName>
    <definedName name="item7.13">#REF!</definedName>
    <definedName name="item7.14">#REF!</definedName>
    <definedName name="item7.15">#REF!</definedName>
    <definedName name="item7.16">#REF!</definedName>
    <definedName name="item7.17">#REF!</definedName>
    <definedName name="item7.18">#REF!</definedName>
    <definedName name="item7.19">#REF!</definedName>
    <definedName name="item7.2">#REF!</definedName>
    <definedName name="item7.3">#REF!</definedName>
    <definedName name="item7.4">#REF!</definedName>
    <definedName name="item7.5">#REF!</definedName>
    <definedName name="item7.6">#REF!</definedName>
    <definedName name="item7.7">#REF!</definedName>
    <definedName name="item7.8">#REF!</definedName>
    <definedName name="item7.9">#REF!</definedName>
    <definedName name="item8.1">#REF!</definedName>
    <definedName name="item8.2">#REF!</definedName>
    <definedName name="item8.3">#REF!</definedName>
    <definedName name="item8.4">#REF!</definedName>
    <definedName name="item8.5">#REF!</definedName>
    <definedName name="item8.6">#REF!</definedName>
    <definedName name="item9.1">#REF!</definedName>
    <definedName name="item9.2">#REF!</definedName>
    <definedName name="item9.3">#REF!</definedName>
    <definedName name="item9.4">#REF!</definedName>
    <definedName name="item9.5">#REF!</definedName>
    <definedName name="item9.6">#REF!</definedName>
    <definedName name="item9.7">#REF!</definedName>
    <definedName name="item9.8">#REF!</definedName>
    <definedName name="item9.9">#REF!</definedName>
    <definedName name="itm10.2">#REF!</definedName>
    <definedName name="iu">[19]!PassaExtenso</definedName>
    <definedName name="jbgihwqgbib">#REF!</definedName>
    <definedName name="Jd">#REF!</definedName>
    <definedName name="JESUS">'[12]Refor Out. 2001 - BDI=20% Ajust'!#REF!</definedName>
    <definedName name="jj">#REF!</definedName>
    <definedName name="Jm">#REF!</definedName>
    <definedName name="juuhyyebjs14">#REF!</definedName>
    <definedName name="jygfvsujj_jhs">#REF!</definedName>
    <definedName name="k">'[3]Bm 8'!#REF!</definedName>
    <definedName name="kg">'[11]PLANILHA DE QUANT. E CUSTOS A'!#REF!</definedName>
    <definedName name="khgu" localSheetId="0">#REF!</definedName>
    <definedName name="kj" localSheetId="0">#REF!</definedName>
    <definedName name="kjh" localSheetId="0">#REF!</definedName>
    <definedName name="KKKK">#REF!,#REF!</definedName>
    <definedName name="kkkk2">#REF!,#REF!</definedName>
    <definedName name="kkkkkkk">#REF!</definedName>
    <definedName name="kkkkkkkk3">#REF!,#REF!</definedName>
    <definedName name="kl">#REF!</definedName>
    <definedName name="klkl">#REF!</definedName>
    <definedName name="KPAV">#REF!</definedName>
    <definedName name="kpavi">#REF!</definedName>
    <definedName name="kpavim">#REF!</definedName>
    <definedName name="kpavime">#REF!</definedName>
    <definedName name="ksye_isuhuh_hsydgs">#REF!</definedName>
    <definedName name="KTER">#REF!</definedName>
    <definedName name="kterr">#REF!</definedName>
    <definedName name="kterra">#REF!</definedName>
    <definedName name="kterrap">#REF!</definedName>
    <definedName name="kterraple">#REF!</definedName>
    <definedName name="kudyud">#REF!</definedName>
    <definedName name="l_">#REF!</definedName>
    <definedName name="la">[9]Reforma!#REF!</definedName>
    <definedName name="Lado2">#REF!</definedName>
    <definedName name="Laranjeiras">#REF!,#REF!</definedName>
    <definedName name="LEO">#REF!</definedName>
    <definedName name="LIQUIDEZ">[14]Plan1!$A$184:$A$187</definedName>
    <definedName name="lista">#REF!</definedName>
    <definedName name="lista.coluna">#REF!</definedName>
    <definedName name="lista.linha">#REF!</definedName>
    <definedName name="ljh">#REF!</definedName>
    <definedName name="LLLLL">#REF!,#REF!</definedName>
    <definedName name="Local">#REF!</definedName>
    <definedName name="LOP">(#REF!,#REF!)</definedName>
    <definedName name="Lucro">#REF!</definedName>
    <definedName name="m">#REF!</definedName>
    <definedName name="MAR">[9]Reforma!#REF!</definedName>
    <definedName name="MATRIZ_DE_RESPONSABILIDADE">#REF!</definedName>
    <definedName name="MCOD02.020.0010">[32]MEMORIAL!#REF!</definedName>
    <definedName name="MCOD02.020.0010_1">[33]MEMORIAL!#REF!</definedName>
    <definedName name="MCOD02.020.0070">[32]MEMORIAL!#REF!</definedName>
    <definedName name="MCOD02.020.0070_1">[33]MEMORIAL!#REF!</definedName>
    <definedName name="MCOD02.030.0090">[32]MEMORIAL!#REF!</definedName>
    <definedName name="MCOD02.030.0090_1">[33]MEMORIAL!#REF!</definedName>
    <definedName name="MCOD02.030.0100">[32]MEMORIAL!#REF!</definedName>
    <definedName name="MCOD02.030.0100_1">[33]MEMORIAL!#REF!</definedName>
    <definedName name="MCOD02.040.0200">[32]MEMORIAL!#REF!</definedName>
    <definedName name="MCOD02.040.0200_1">[33]MEMORIAL!#REF!</definedName>
    <definedName name="MCOD02.040.0280">[32]MEMORIAL!#REF!</definedName>
    <definedName name="MCOD02.040.0280_1">[33]MEMORIAL!#REF!</definedName>
    <definedName name="MCOD02.040.0921">[32]MEMORIAL!#REF!</definedName>
    <definedName name="MCOD02.040.0921_1">[33]MEMORIAL!#REF!</definedName>
    <definedName name="MCOD02.040.1055">[32]MEMORIAL!#REF!</definedName>
    <definedName name="MCOD02.040.1055_1">[33]MEMORIAL!#REF!</definedName>
    <definedName name="MCOD02.040.1060">[32]MEMORIAL!#REF!</definedName>
    <definedName name="MCOD02.040.1060_1">[33]MEMORIAL!#REF!</definedName>
    <definedName name="MCOD02.040.3790">[32]MEMORIAL!#REF!</definedName>
    <definedName name="MCOD02.040.3790_1">[33]MEMORIAL!#REF!</definedName>
    <definedName name="MCOD02.040.3800">[32]MEMORIAL!#REF!</definedName>
    <definedName name="MCOD02.040.3800_1">[33]MEMORIAL!#REF!</definedName>
    <definedName name="MCOD02.040.3810">[32]MEMORIAL!#REF!</definedName>
    <definedName name="MCOD02.040.3810_1">[33]MEMORIAL!#REF!</definedName>
    <definedName name="MCOD02.040.4510">[32]MEMORIAL!#REF!</definedName>
    <definedName name="MCOD02.040.4510_1">[33]MEMORIAL!#REF!</definedName>
    <definedName name="MCOD02.040.4520">[32]MEMORIAL!#REF!</definedName>
    <definedName name="MCOD02.040.4520_1">[33]MEMORIAL!#REF!</definedName>
    <definedName name="MCOD02.040.4550">[32]MEMORIAL!#REF!</definedName>
    <definedName name="MCOD02.040.4550_1">[33]MEMORIAL!#REF!</definedName>
    <definedName name="MCOD02.040.4620">[32]MEMORIAL!#REF!</definedName>
    <definedName name="MCOD02.040.4620_1">[33]MEMORIAL!#REF!</definedName>
    <definedName name="MCOD02.040.4630">[32]MEMORIAL!#REF!</definedName>
    <definedName name="MCOD02.040.4630_1">[33]MEMORIAL!#REF!</definedName>
    <definedName name="MCOD02.040.4636">[32]MEMORIAL!#REF!</definedName>
    <definedName name="MCOD02.040.4636_1">[33]MEMORIAL!#REF!</definedName>
    <definedName name="MCOD02.040.4690">[32]MEMORIAL!#REF!</definedName>
    <definedName name="MCOD02.040.4690_1">[33]MEMORIAL!#REF!</definedName>
    <definedName name="MCOD02.040.7402">[32]MEMORIAL!#REF!</definedName>
    <definedName name="MCOD02.040.7402_1">[33]MEMORIAL!#REF!</definedName>
    <definedName name="MCOD02.040.9800">[32]MEMORIAL!#REF!</definedName>
    <definedName name="MCOD02.040.9800_1">[33]MEMORIAL!#REF!</definedName>
    <definedName name="MCOD02.040.9802">[32]MEMORIAL!#REF!</definedName>
    <definedName name="MCOD02.040.9802_1">[33]MEMORIAL!#REF!</definedName>
    <definedName name="MCOD02.040.9804">[32]MEMORIAL!#REF!</definedName>
    <definedName name="MCOD02.040.9804_1">[33]MEMORIAL!#REF!</definedName>
    <definedName name="MCOD02.110.0014">[32]MEMORIAL!#REF!</definedName>
    <definedName name="MCOD02.110.0014_1">[33]MEMORIAL!#REF!</definedName>
    <definedName name="MCOD02.110.0054">[32]MEMORIAL!#REF!</definedName>
    <definedName name="MCOD02.110.0054_1">[33]MEMORIAL!#REF!</definedName>
    <definedName name="MCOD02.110.0066">[32]MEMORIAL!#REF!</definedName>
    <definedName name="MCOD02.110.0066_1">[33]MEMORIAL!#REF!</definedName>
    <definedName name="MCOD02.110.0094">[32]MEMORIAL!#REF!</definedName>
    <definedName name="MCOD02.110.0094_1">[33]MEMORIAL!#REF!</definedName>
    <definedName name="MCOD02.110.0106">[32]MEMORIAL!#REF!</definedName>
    <definedName name="MCOD02.110.0106_1">[33]MEMORIAL!#REF!</definedName>
    <definedName name="MCOD02.110.0110">[32]MEMORIAL!#REF!</definedName>
    <definedName name="MCOD02.110.0110_1">[33]MEMORIAL!#REF!</definedName>
    <definedName name="MCOD02.110.0134">[32]MEMORIAL!#REF!</definedName>
    <definedName name="MCOD02.110.0134_1">[33]MEMORIAL!#REF!</definedName>
    <definedName name="MCOD02.110.0146">[32]MEMORIAL!#REF!</definedName>
    <definedName name="MCOD02.110.0146_1">[33]MEMORIAL!#REF!</definedName>
    <definedName name="MCOD02.110.0150">[32]MEMORIAL!#REF!</definedName>
    <definedName name="MCOD02.110.0150_1">[33]MEMORIAL!#REF!</definedName>
    <definedName name="MCOD02.110.0610">[32]MEMORIAL!#REF!</definedName>
    <definedName name="MCOD02.110.0610_1">[33]MEMORIAL!#REF!</definedName>
    <definedName name="MCOD02.110.0620">[32]MEMORIAL!#REF!</definedName>
    <definedName name="MCOD02.110.0620_1">[33]MEMORIAL!#REF!</definedName>
    <definedName name="MCOD02.110.0734">[32]MEMORIAL!#REF!</definedName>
    <definedName name="MCOD02.110.0734_1">[33]MEMORIAL!#REF!</definedName>
    <definedName name="MCOD02.110.0738">[32]MEMORIAL!#REF!</definedName>
    <definedName name="MCOD02.110.0738_1">[33]MEMORIAL!#REF!</definedName>
    <definedName name="MCOD02.110.0750">[32]MEMORIAL!#REF!</definedName>
    <definedName name="MCOD02.110.0750_1">[33]MEMORIAL!#REF!</definedName>
    <definedName name="MCOD02.110.1014">[32]MEMORIAL!#REF!</definedName>
    <definedName name="MCOD02.110.1014_1">[33]MEMORIAL!#REF!</definedName>
    <definedName name="MCOD02.110.1020">[32]MEMORIAL!#REF!</definedName>
    <definedName name="MCOD02.110.1020_1">[33]MEMORIAL!#REF!</definedName>
    <definedName name="MCOD02.110.1164">[32]MEMORIAL!#REF!</definedName>
    <definedName name="MCOD02.110.1164_1">[33]MEMORIAL!#REF!</definedName>
    <definedName name="MCOD02.110.1166">[32]MEMORIAL!#REF!</definedName>
    <definedName name="MCOD02.110.1166_1">[33]MEMORIAL!#REF!</definedName>
    <definedName name="MCOD02.110.1420">[32]MEMORIAL!#REF!</definedName>
    <definedName name="MCOD02.110.1420_1">[33]MEMORIAL!#REF!</definedName>
    <definedName name="MCOD02.110.1426">[32]MEMORIAL!#REF!</definedName>
    <definedName name="MCOD02.110.1426_1">[33]MEMORIAL!#REF!</definedName>
    <definedName name="MCOD02.110.1654">[32]MEMORIAL!#REF!</definedName>
    <definedName name="MCOD02.110.1654_1">[33]MEMORIAL!#REF!</definedName>
    <definedName name="MCOD02.110.1880">[32]MEMORIAL!#REF!</definedName>
    <definedName name="MCOD02.110.1880_1">[33]MEMORIAL!#REF!</definedName>
    <definedName name="MCOD02.110.1974">[32]MEMORIAL!#REF!</definedName>
    <definedName name="MCOD02.110.1974_1">[33]MEMORIAL!#REF!</definedName>
    <definedName name="MCOD02.110.1996">[32]MEMORIAL!#REF!</definedName>
    <definedName name="MCOD02.110.1996_1">[33]MEMORIAL!#REF!</definedName>
    <definedName name="MCOD02.110.2012">[32]MEMORIAL!#REF!</definedName>
    <definedName name="MCOD02.110.2012_1">[33]MEMORIAL!#REF!</definedName>
    <definedName name="MCOD02.110.2016">[32]MEMORIAL!#REF!</definedName>
    <definedName name="MCOD02.110.2016_1">[33]MEMORIAL!#REF!</definedName>
    <definedName name="MCOD02.110.2024">[32]MEMORIAL!#REF!</definedName>
    <definedName name="MCOD02.110.2024_1">[33]MEMORIAL!#REF!</definedName>
    <definedName name="MCOD02.110.2026">[32]MEMORIAL!#REF!</definedName>
    <definedName name="MCOD02.110.2026_1">[33]MEMORIAL!#REF!</definedName>
    <definedName name="MCOD02.110.2310">[32]MEMORIAL!#REF!</definedName>
    <definedName name="MCOD02.110.2310_1">[33]MEMORIAL!#REF!</definedName>
    <definedName name="MCOD02.110.2480">[32]MEMORIAL!#REF!</definedName>
    <definedName name="MCOD02.110.2480_1">[33]MEMORIAL!#REF!</definedName>
    <definedName name="MCOD02.110.2798">[32]MEMORIAL!#REF!</definedName>
    <definedName name="MCOD02.110.2798_1">[33]MEMORIAL!#REF!</definedName>
    <definedName name="MCOD02.110.2806">[32]MEMORIAL!#REF!</definedName>
    <definedName name="MCOD02.110.2806_1">[33]MEMORIAL!#REF!</definedName>
    <definedName name="MCOD02.110.2868">[32]MEMORIAL!#REF!</definedName>
    <definedName name="MCOD02.110.2868_1">[33]MEMORIAL!#REF!</definedName>
    <definedName name="MCOD02.110.3856">[32]MEMORIAL!#REF!</definedName>
    <definedName name="MCOD02.110.3856_1">[33]MEMORIAL!#REF!</definedName>
    <definedName name="MCOD02.110.3908">[32]MEMORIAL!#REF!</definedName>
    <definedName name="MCOD02.110.3908_1">[33]MEMORIAL!#REF!</definedName>
    <definedName name="MCOD02.110.3926">[32]MEMORIAL!#REF!</definedName>
    <definedName name="MCOD02.110.3926_1">[33]MEMORIAL!#REF!</definedName>
    <definedName name="MCOD02.110.4288">[32]MEMORIAL!#REF!</definedName>
    <definedName name="MCOD02.110.4288_1">[33]MEMORIAL!#REF!</definedName>
    <definedName name="MCOD02.110.4296">[32]MEMORIAL!#REF!</definedName>
    <definedName name="MCOD02.110.4296_1">[33]MEMORIAL!#REF!</definedName>
    <definedName name="MCOD02.110.4308">[32]MEMORIAL!#REF!</definedName>
    <definedName name="MCOD02.110.4308_1">[33]MEMORIAL!#REF!</definedName>
    <definedName name="MCOD02.110.4312">[32]MEMORIAL!#REF!</definedName>
    <definedName name="MCOD02.110.4312_1">[33]MEMORIAL!#REF!</definedName>
    <definedName name="MCOD02.110.4320">[32]MEMORIAL!#REF!</definedName>
    <definedName name="MCOD02.110.4320_1">[33]MEMORIAL!#REF!</definedName>
    <definedName name="MCOD02.110.4780">[32]MEMORIAL!#REF!</definedName>
    <definedName name="MCOD02.110.4780_1">[33]MEMORIAL!#REF!</definedName>
    <definedName name="MCOD02.120.0050">[32]MEMORIAL!#REF!</definedName>
    <definedName name="MCOD02.120.0050_1">[33]MEMORIAL!#REF!</definedName>
    <definedName name="MCOD02.120.0060">[32]MEMORIAL!#REF!</definedName>
    <definedName name="MCOD02.120.0060_1">[33]MEMORIAL!#REF!</definedName>
    <definedName name="MCOD02.120.0140">[32]MEMORIAL!#REF!</definedName>
    <definedName name="MCOD02.120.0140_1">[33]MEMORIAL!#REF!</definedName>
    <definedName name="MCOD02.130.0070">[32]MEMORIAL!#REF!</definedName>
    <definedName name="MCOD02.130.0070_1">[33]MEMORIAL!#REF!</definedName>
    <definedName name="MCOD02.130.0080">[32]MEMORIAL!#REF!</definedName>
    <definedName name="MCOD02.130.0080_1">[33]MEMORIAL!#REF!</definedName>
    <definedName name="MCOD02.130.0100">[32]MEMORIAL!#REF!</definedName>
    <definedName name="MCOD02.130.0100_1">[33]MEMORIAL!#REF!</definedName>
    <definedName name="MCOD02.140.0030">[32]MEMORIAL!#REF!</definedName>
    <definedName name="MCOD02.140.0030_1">[33]MEMORIAL!#REF!</definedName>
    <definedName name="MCOD02.140.0080">[32]MEMORIAL!#REF!</definedName>
    <definedName name="MCOD02.140.0080_1">[33]MEMORIAL!#REF!</definedName>
    <definedName name="MCOD02.140.0090">[32]MEMORIAL!#REF!</definedName>
    <definedName name="MCOD02.140.0090_1">[33]MEMORIAL!#REF!</definedName>
    <definedName name="MCOD02.160.0010">[32]MEMORIAL!#REF!</definedName>
    <definedName name="MCOD02.160.0010_1">[33]MEMORIAL!#REF!</definedName>
    <definedName name="MCOD02.160.0110">[32]MEMORIAL!#REF!</definedName>
    <definedName name="MCOD02.160.0110_1">[33]MEMORIAL!#REF!</definedName>
    <definedName name="MCOD02.180.0010">[32]MEMORIAL!#REF!</definedName>
    <definedName name="MCOD02.180.0010_1">[33]MEMORIAL!#REF!</definedName>
    <definedName name="MCOD02.210.0020">[32]MEMORIAL!#REF!</definedName>
    <definedName name="MCOD02.210.0020_1">[33]MEMORIAL!#REF!</definedName>
    <definedName name="MCOD02.210.0030">[32]MEMORIAL!#REF!</definedName>
    <definedName name="MCOD02.210.0030_1">[33]MEMORIAL!#REF!</definedName>
    <definedName name="MCOD02.210.0090">[32]MEMORIAL!#REF!</definedName>
    <definedName name="MCOD02.210.0090_1">[33]MEMORIAL!#REF!</definedName>
    <definedName name="MCOD02.210.0110">[32]MEMORIAL!#REF!</definedName>
    <definedName name="MCOD02.210.0110_1">[33]MEMORIAL!#REF!</definedName>
    <definedName name="MCOD02.210.0310">[32]MEMORIAL!#REF!</definedName>
    <definedName name="MCOD02.210.0310_1">[33]MEMORIAL!#REF!</definedName>
    <definedName name="MCOD02.210.0340">[32]MEMORIAL!#REF!</definedName>
    <definedName name="MCOD02.210.0340_1">[33]MEMORIAL!#REF!</definedName>
    <definedName name="MCOD02.210.0350">[32]MEMORIAL!#REF!</definedName>
    <definedName name="MCOD02.210.0350_1">[33]MEMORIAL!#REF!</definedName>
    <definedName name="MCOD02.210.0360">[32]MEMORIAL!#REF!</definedName>
    <definedName name="MCOD02.210.0360_1">[33]MEMORIAL!#REF!</definedName>
    <definedName name="MCOD02.210.0370">[32]MEMORIAL!#REF!</definedName>
    <definedName name="MCOD02.210.0370_1">[33]MEMORIAL!#REF!</definedName>
    <definedName name="MCOD02.210.0380">[32]MEMORIAL!#REF!</definedName>
    <definedName name="MCOD02.210.0380_1">[33]MEMORIAL!#REF!</definedName>
    <definedName name="MCOD02.210.1620">[32]MEMORIAL!#REF!</definedName>
    <definedName name="MCOD02.210.1620_1">[33]MEMORIAL!#REF!</definedName>
    <definedName name="MCOD02.210.1625">[32]MEMORIAL!#REF!</definedName>
    <definedName name="MCOD02.210.1625_1">[33]MEMORIAL!#REF!</definedName>
    <definedName name="MCOD02.210.1635">[32]MEMORIAL!#REF!</definedName>
    <definedName name="MCOD02.210.1635_1">[33]MEMORIAL!#REF!</definedName>
    <definedName name="MCOD02.210.1637">[32]MEMORIAL!#REF!</definedName>
    <definedName name="MCOD02.210.1637_1">[33]MEMORIAL!#REF!</definedName>
    <definedName name="MCOD03.020.0020">[32]MEMORIAL!#REF!</definedName>
    <definedName name="MCOD03.020.0020_1">[33]MEMORIAL!#REF!</definedName>
    <definedName name="MCOD05.150.0830">[32]MEMORIAL!#REF!</definedName>
    <definedName name="MCOD05.150.0830_1">[33]MEMORIAL!#REF!</definedName>
    <definedName name="MCOD05.150.0840">[32]MEMORIAL!#REF!</definedName>
    <definedName name="MCOD05.150.0840_1">[33]MEMORIAL!#REF!</definedName>
    <definedName name="MCODCOTADO01">[32]MEMORIAL!#REF!</definedName>
    <definedName name="MCODCOTADO01_1">[33]MEMORIAL!#REF!</definedName>
    <definedName name="MCODCOTADO02">[32]MEMORIAL!#REF!</definedName>
    <definedName name="MCODCOTADO02_1">[33]MEMORIAL!#REF!</definedName>
    <definedName name="MCODCOTADO03">[32]MEMORIAL!#REF!</definedName>
    <definedName name="MCODCOTADO03_1">[33]MEMORIAL!#REF!</definedName>
    <definedName name="MCODCOTADO04">[32]MEMORIAL!#REF!</definedName>
    <definedName name="MCODCOTADO04_1">[33]MEMORIAL!#REF!</definedName>
    <definedName name="medição">#REF!</definedName>
    <definedName name="MEMORIA">#REF!</definedName>
    <definedName name="MES">[17]MES!$B$3:$C$3655</definedName>
    <definedName name="METODOLOGIA">[14]Plan1!$A$195:$A$203</definedName>
    <definedName name="MmExcelLinker_CBF3F7D5_5F0E_4EA5_B59F_34028F0F12D2">[34]PLAN_FORN!#REF!</definedName>
    <definedName name="mmm">#REF!</definedName>
    <definedName name="MMMMMM">[9]Reforma!#REF!</definedName>
    <definedName name="MTOT02.020.0010">[32]MEMORIAL!#REF!</definedName>
    <definedName name="MTOT02.020.0010_1">[33]MEMORIAL!#REF!</definedName>
    <definedName name="MTOT02.020.0070">[32]MEMORIAL!#REF!</definedName>
    <definedName name="MTOT02.020.0070_1">[33]MEMORIAL!#REF!</definedName>
    <definedName name="MTOT02.030.0090">[32]MEMORIAL!#REF!</definedName>
    <definedName name="MTOT02.030.0090_1">[33]MEMORIAL!#REF!</definedName>
    <definedName name="MTOT02.030.0100">[32]MEMORIAL!#REF!</definedName>
    <definedName name="MTOT02.030.0100_1">[33]MEMORIAL!#REF!</definedName>
    <definedName name="MTOT02.040.0200">[32]MEMORIAL!#REF!</definedName>
    <definedName name="MTOT02.040.0200_1">[33]MEMORIAL!#REF!</definedName>
    <definedName name="MTOT02.040.0280">[32]MEMORIAL!#REF!</definedName>
    <definedName name="MTOT02.040.0280_1">[33]MEMORIAL!#REF!</definedName>
    <definedName name="MTOT02.040.0921">[32]MEMORIAL!#REF!</definedName>
    <definedName name="MTOT02.040.0921_1">[33]MEMORIAL!#REF!</definedName>
    <definedName name="MTOT02.040.1055">[32]MEMORIAL!#REF!</definedName>
    <definedName name="MTOT02.040.1055_1">[33]MEMORIAL!#REF!</definedName>
    <definedName name="MTOT02.040.1060">[32]MEMORIAL!#REF!</definedName>
    <definedName name="MTOT02.040.1060_1">[33]MEMORIAL!#REF!</definedName>
    <definedName name="MTOT02.040.3790">[32]MEMORIAL!#REF!</definedName>
    <definedName name="MTOT02.040.3790_1">[33]MEMORIAL!#REF!</definedName>
    <definedName name="MTOT02.040.3800">[32]MEMORIAL!#REF!</definedName>
    <definedName name="MTOT02.040.3800_1">[33]MEMORIAL!#REF!</definedName>
    <definedName name="MTOT02.040.3810">[32]MEMORIAL!#REF!</definedName>
    <definedName name="MTOT02.040.3810_1">[33]MEMORIAL!#REF!</definedName>
    <definedName name="MTOT02.040.4510">[32]MEMORIAL!#REF!</definedName>
    <definedName name="MTOT02.040.4510_1">[33]MEMORIAL!#REF!</definedName>
    <definedName name="MTOT02.040.4520">[32]MEMORIAL!#REF!</definedName>
    <definedName name="MTOT02.040.4520_1">[33]MEMORIAL!#REF!</definedName>
    <definedName name="MTOT02.040.4550">[32]MEMORIAL!#REF!</definedName>
    <definedName name="MTOT02.040.4550_1">[33]MEMORIAL!#REF!</definedName>
    <definedName name="MTOT02.040.4620">[32]MEMORIAL!#REF!</definedName>
    <definedName name="MTOT02.040.4620_1">[33]MEMORIAL!#REF!</definedName>
    <definedName name="MTOT02.040.4630">[32]MEMORIAL!#REF!</definedName>
    <definedName name="MTOT02.040.4630_1">[33]MEMORIAL!#REF!</definedName>
    <definedName name="MTOT02.040.4636">[32]MEMORIAL!#REF!</definedName>
    <definedName name="MTOT02.040.4636_1">[33]MEMORIAL!#REF!</definedName>
    <definedName name="MTOT02.040.4690">[32]MEMORIAL!#REF!</definedName>
    <definedName name="MTOT02.040.4690_1">[33]MEMORIAL!#REF!</definedName>
    <definedName name="MTOT02.040.7402">[32]MEMORIAL!#REF!</definedName>
    <definedName name="MTOT02.040.7402_1">[33]MEMORIAL!#REF!</definedName>
    <definedName name="MTOT02.040.9800">[32]MEMORIAL!#REF!</definedName>
    <definedName name="MTOT02.040.9800_1">[33]MEMORIAL!#REF!</definedName>
    <definedName name="MTOT02.040.9802">[32]MEMORIAL!#REF!</definedName>
    <definedName name="MTOT02.040.9802_1">[33]MEMORIAL!#REF!</definedName>
    <definedName name="MTOT02.040.9804">[32]MEMORIAL!#REF!</definedName>
    <definedName name="MTOT02.040.9804_1">[33]MEMORIAL!#REF!</definedName>
    <definedName name="MTOT02.110.0014">[32]MEMORIAL!#REF!</definedName>
    <definedName name="MTOT02.110.0014_1">[33]MEMORIAL!#REF!</definedName>
    <definedName name="MTOT02.110.0054">[32]MEMORIAL!#REF!</definedName>
    <definedName name="MTOT02.110.0054_1">[33]MEMORIAL!#REF!</definedName>
    <definedName name="MTOT02.110.0066">[32]MEMORIAL!#REF!</definedName>
    <definedName name="MTOT02.110.0066_1">[33]MEMORIAL!#REF!</definedName>
    <definedName name="MTOT02.110.0094">[32]MEMORIAL!#REF!</definedName>
    <definedName name="MTOT02.110.0094_1">[33]MEMORIAL!#REF!</definedName>
    <definedName name="MTOT02.110.0106">[32]MEMORIAL!#REF!</definedName>
    <definedName name="MTOT02.110.0106_1">[33]MEMORIAL!#REF!</definedName>
    <definedName name="MTOT02.110.0110">[32]MEMORIAL!#REF!</definedName>
    <definedName name="MTOT02.110.0110_1">[33]MEMORIAL!#REF!</definedName>
    <definedName name="MTOT02.110.0134">[32]MEMORIAL!#REF!</definedName>
    <definedName name="MTOT02.110.0134_1">[33]MEMORIAL!#REF!</definedName>
    <definedName name="MTOT02.110.0146">[32]MEMORIAL!#REF!</definedName>
    <definedName name="MTOT02.110.0146_1">[33]MEMORIAL!#REF!</definedName>
    <definedName name="MTOT02.110.0150">[32]MEMORIAL!#REF!</definedName>
    <definedName name="MTOT02.110.0150_1">[33]MEMORIAL!#REF!</definedName>
    <definedName name="MTOT02.110.0610">[32]MEMORIAL!#REF!</definedName>
    <definedName name="MTOT02.110.0610_1">[33]MEMORIAL!#REF!</definedName>
    <definedName name="MTOT02.110.0620">[32]MEMORIAL!#REF!</definedName>
    <definedName name="MTOT02.110.0620_1">[33]MEMORIAL!#REF!</definedName>
    <definedName name="MTOT02.110.0734">[32]MEMORIAL!#REF!</definedName>
    <definedName name="MTOT02.110.0734_1">[33]MEMORIAL!#REF!</definedName>
    <definedName name="MTOT02.110.0738">[32]MEMORIAL!#REF!</definedName>
    <definedName name="MTOT02.110.0738_1">[33]MEMORIAL!#REF!</definedName>
    <definedName name="MTOT02.110.0750">[32]MEMORIAL!#REF!</definedName>
    <definedName name="MTOT02.110.0750_1">[33]MEMORIAL!#REF!</definedName>
    <definedName name="MTOT02.110.1014">[32]MEMORIAL!#REF!</definedName>
    <definedName name="MTOT02.110.1014_1">[33]MEMORIAL!#REF!</definedName>
    <definedName name="MTOT02.110.1020">[32]MEMORIAL!#REF!</definedName>
    <definedName name="MTOT02.110.1020_1">[33]MEMORIAL!#REF!</definedName>
    <definedName name="MTOT02.110.1164">[32]MEMORIAL!#REF!</definedName>
    <definedName name="MTOT02.110.1164_1">[33]MEMORIAL!#REF!</definedName>
    <definedName name="MTOT02.110.1166">[32]MEMORIAL!#REF!</definedName>
    <definedName name="MTOT02.110.1166_1">[33]MEMORIAL!#REF!</definedName>
    <definedName name="MTOT02.110.1420">[32]MEMORIAL!#REF!</definedName>
    <definedName name="MTOT02.110.1420_1">[33]MEMORIAL!#REF!</definedName>
    <definedName name="MTOT02.110.1426">[32]MEMORIAL!#REF!</definedName>
    <definedName name="MTOT02.110.1426_1">[33]MEMORIAL!#REF!</definedName>
    <definedName name="MTOT02.110.1654">[32]MEMORIAL!#REF!</definedName>
    <definedName name="MTOT02.110.1654_1">[33]MEMORIAL!#REF!</definedName>
    <definedName name="MTOT02.110.1880">[32]MEMORIAL!#REF!</definedName>
    <definedName name="MTOT02.110.1880_1">[33]MEMORIAL!#REF!</definedName>
    <definedName name="MTOT02.110.1974">[32]MEMORIAL!#REF!</definedName>
    <definedName name="MTOT02.110.1974_1">[33]MEMORIAL!#REF!</definedName>
    <definedName name="MTOT02.110.1996">[32]MEMORIAL!#REF!</definedName>
    <definedName name="MTOT02.110.1996_1">[33]MEMORIAL!#REF!</definedName>
    <definedName name="MTOT02.110.2012">[32]MEMORIAL!#REF!</definedName>
    <definedName name="MTOT02.110.2012_1">[33]MEMORIAL!#REF!</definedName>
    <definedName name="MTOT02.110.2016">[32]MEMORIAL!#REF!</definedName>
    <definedName name="MTOT02.110.2016_1">[33]MEMORIAL!#REF!</definedName>
    <definedName name="MTOT02.110.2024">[32]MEMORIAL!#REF!</definedName>
    <definedName name="MTOT02.110.2024_1">[33]MEMORIAL!#REF!</definedName>
    <definedName name="MTOT02.110.2026">[32]MEMORIAL!#REF!</definedName>
    <definedName name="MTOT02.110.2026_1">[33]MEMORIAL!#REF!</definedName>
    <definedName name="MTOT02.110.2310">[32]MEMORIAL!#REF!</definedName>
    <definedName name="MTOT02.110.2310_1">[33]MEMORIAL!#REF!</definedName>
    <definedName name="MTOT02.110.2480">[32]MEMORIAL!#REF!</definedName>
    <definedName name="MTOT02.110.2480_1">[33]MEMORIAL!#REF!</definedName>
    <definedName name="MTOT02.110.2798">[32]MEMORIAL!#REF!</definedName>
    <definedName name="MTOT02.110.2798_1">[33]MEMORIAL!#REF!</definedName>
    <definedName name="MTOT02.110.2806">[32]MEMORIAL!#REF!</definedName>
    <definedName name="MTOT02.110.2806_1">[33]MEMORIAL!#REF!</definedName>
    <definedName name="MTOT02.110.2868">[32]MEMORIAL!#REF!</definedName>
    <definedName name="MTOT02.110.2868_1">[33]MEMORIAL!#REF!</definedName>
    <definedName name="MTOT02.110.3856">[32]MEMORIAL!#REF!</definedName>
    <definedName name="MTOT02.110.3856_1">[33]MEMORIAL!#REF!</definedName>
    <definedName name="MTOT02.110.3908">[32]MEMORIAL!#REF!</definedName>
    <definedName name="MTOT02.110.3908_1">[33]MEMORIAL!#REF!</definedName>
    <definedName name="MTOT02.110.3926">[32]MEMORIAL!#REF!</definedName>
    <definedName name="MTOT02.110.3926_1">[33]MEMORIAL!#REF!</definedName>
    <definedName name="MTOT02.110.4288">[32]MEMORIAL!#REF!</definedName>
    <definedName name="MTOT02.110.4288_1">[33]MEMORIAL!#REF!</definedName>
    <definedName name="MTOT02.110.4296">[32]MEMORIAL!#REF!</definedName>
    <definedName name="MTOT02.110.4296_1">[33]MEMORIAL!#REF!</definedName>
    <definedName name="MTOT02.110.4308">[32]MEMORIAL!#REF!</definedName>
    <definedName name="MTOT02.110.4308_1">[33]MEMORIAL!#REF!</definedName>
    <definedName name="MTOT02.110.4312">[32]MEMORIAL!#REF!</definedName>
    <definedName name="MTOT02.110.4312_1">[33]MEMORIAL!#REF!</definedName>
    <definedName name="MTOT02.110.4320">[32]MEMORIAL!#REF!</definedName>
    <definedName name="MTOT02.110.4320_1">[33]MEMORIAL!#REF!</definedName>
    <definedName name="MTOT02.110.4780">[32]MEMORIAL!#REF!</definedName>
    <definedName name="MTOT02.110.4780_1">[33]MEMORIAL!#REF!</definedName>
    <definedName name="MTOT02.110.610">[32]MEMORIAL!#REF!</definedName>
    <definedName name="MTOT02.110.610_1">[33]MEMORIAL!#REF!</definedName>
    <definedName name="MTOT02.120.0050">[32]MEMORIAL!#REF!</definedName>
    <definedName name="MTOT02.120.0050_1">[33]MEMORIAL!#REF!</definedName>
    <definedName name="MTOT02.120.0060">[32]MEMORIAL!#REF!</definedName>
    <definedName name="MTOT02.120.0060_1">[33]MEMORIAL!#REF!</definedName>
    <definedName name="MTOT02.120.0140">[32]MEMORIAL!#REF!</definedName>
    <definedName name="MTOT02.120.0140_1">[33]MEMORIAL!#REF!</definedName>
    <definedName name="MTOT02.130.0070">[32]MEMORIAL!#REF!</definedName>
    <definedName name="MTOT02.130.0070_1">[33]MEMORIAL!#REF!</definedName>
    <definedName name="MTOT02.130.0080">[32]MEMORIAL!#REF!</definedName>
    <definedName name="MTOT02.130.0080_1">[33]MEMORIAL!#REF!</definedName>
    <definedName name="MTOT02.130.0100">[32]MEMORIAL!#REF!</definedName>
    <definedName name="MTOT02.130.0100_1">[33]MEMORIAL!#REF!</definedName>
    <definedName name="MTOT02.140.0030">[32]MEMORIAL!#REF!</definedName>
    <definedName name="MTOT02.140.0030_1">[33]MEMORIAL!#REF!</definedName>
    <definedName name="MTOT02.140.0080">[32]MEMORIAL!#REF!</definedName>
    <definedName name="MTOT02.140.0080_1">[33]MEMORIAL!#REF!</definedName>
    <definedName name="MTOT02.140.0090">[32]MEMORIAL!#REF!</definedName>
    <definedName name="MTOT02.140.0090_1">[33]MEMORIAL!#REF!</definedName>
    <definedName name="MTOT02.160.0010">[32]MEMORIAL!#REF!</definedName>
    <definedName name="MTOT02.160.0010_1">[33]MEMORIAL!#REF!</definedName>
    <definedName name="MTOT02.160.0110">[32]MEMORIAL!#REF!</definedName>
    <definedName name="MTOT02.160.0110_1">[33]MEMORIAL!#REF!</definedName>
    <definedName name="MTOT02.180.0010">[32]MEMORIAL!#REF!</definedName>
    <definedName name="MTOT02.180.0010_1">[33]MEMORIAL!#REF!</definedName>
    <definedName name="MTOT02.210.0020">[32]MEMORIAL!#REF!</definedName>
    <definedName name="MTOT02.210.0020_1">[33]MEMORIAL!#REF!</definedName>
    <definedName name="MTOT02.210.0030">[32]MEMORIAL!#REF!</definedName>
    <definedName name="MTOT02.210.0030_1">[33]MEMORIAL!#REF!</definedName>
    <definedName name="MTOT02.210.0090">[32]MEMORIAL!#REF!</definedName>
    <definedName name="MTOT02.210.0090_1">[33]MEMORIAL!#REF!</definedName>
    <definedName name="MTOT02.210.0110">[32]MEMORIAL!#REF!</definedName>
    <definedName name="MTOT02.210.0110_1">[33]MEMORIAL!#REF!</definedName>
    <definedName name="MTOT02.210.0310">[32]MEMORIAL!#REF!</definedName>
    <definedName name="MTOT02.210.0310_1">[33]MEMORIAL!#REF!</definedName>
    <definedName name="MTOT02.210.0340">[32]MEMORIAL!#REF!</definedName>
    <definedName name="MTOT02.210.0340_1">[33]MEMORIAL!#REF!</definedName>
    <definedName name="MTOT02.210.0350">[32]MEMORIAL!#REF!</definedName>
    <definedName name="MTOT02.210.0350_1">[33]MEMORIAL!#REF!</definedName>
    <definedName name="MTOT02.210.0360">[32]MEMORIAL!#REF!</definedName>
    <definedName name="MTOT02.210.0360_1">[33]MEMORIAL!#REF!</definedName>
    <definedName name="MTOT02.210.0370">[32]MEMORIAL!#REF!</definedName>
    <definedName name="MTOT02.210.0370_1">[33]MEMORIAL!#REF!</definedName>
    <definedName name="MTOT02.210.0380">[32]MEMORIAL!#REF!</definedName>
    <definedName name="MTOT02.210.0380_1">[33]MEMORIAL!#REF!</definedName>
    <definedName name="MTOT02.210.1620">[32]MEMORIAL!#REF!</definedName>
    <definedName name="MTOT02.210.1620_1">[33]MEMORIAL!#REF!</definedName>
    <definedName name="MTOT02.210.1625">[32]MEMORIAL!#REF!</definedName>
    <definedName name="MTOT02.210.1625_1">[33]MEMORIAL!#REF!</definedName>
    <definedName name="MTOT02.210.1635">[32]MEMORIAL!#REF!</definedName>
    <definedName name="MTOT02.210.1635_1">[33]MEMORIAL!#REF!</definedName>
    <definedName name="MTOT02.210.1637">[32]MEMORIAL!#REF!</definedName>
    <definedName name="MTOT02.210.1637_1">[33]MEMORIAL!#REF!</definedName>
    <definedName name="MTOT02.2140.">[32]MEMORIAL!#REF!</definedName>
    <definedName name="MTOT02.2140._1">[33]MEMORIAL!#REF!</definedName>
    <definedName name="MTOT03.020.0020">[32]MEMORIAL!#REF!</definedName>
    <definedName name="MTOT03.020.0020_1">[33]MEMORIAL!#REF!</definedName>
    <definedName name="MTOT05.150.0830">[32]MEMORIAL!#REF!</definedName>
    <definedName name="MTOT05.150.0830_1">[33]MEMORIAL!#REF!</definedName>
    <definedName name="MTOT05.150.0840">[32]MEMORIAL!#REF!</definedName>
    <definedName name="MTOT05.150.0840_1">[33]MEMORIAL!#REF!</definedName>
    <definedName name="MTOTCOTADO01">[32]MEMORIAL!#REF!</definedName>
    <definedName name="MTOTCOTADO01_1">[33]MEMORIAL!#REF!</definedName>
    <definedName name="MTOTCOTADO02">[32]MEMORIAL!#REF!</definedName>
    <definedName name="MTOTCOTADO02_1">[33]MEMORIAL!#REF!</definedName>
    <definedName name="MTOTCOTADO03">[32]MEMORIAL!#REF!</definedName>
    <definedName name="MTOTCOTADO03_1">[33]MEMORIAL!#REF!</definedName>
    <definedName name="MTOTCOTADO04">[32]MEMORIAL!#REF!</definedName>
    <definedName name="MTOTCOTADO04_1">[33]MEMORIAL!#REF!</definedName>
    <definedName name="MTOTCOTADO05">[32]MEMORIAL!#REF!</definedName>
    <definedName name="MTOTCOTADO05_1">[33]MEMORIAL!#REF!</definedName>
    <definedName name="MTOTCOTADO21">[15]MEMORIAL!#REF!</definedName>
    <definedName name="MTOTCOTADO21_1">[15]MEMORIAL!#REF!</definedName>
    <definedName name="MTOTVERBA">[15]MEMORIAL!#REF!</definedName>
    <definedName name="MTOTVERBA_1">[15]MEMORIAL!#REF!</definedName>
    <definedName name="MULT">'[35]BAIXO GUANDU ITAIMBE'!#REF!</definedName>
    <definedName name="MULT_2">'[13]BAIXO GUANDU ITAIMBE'!#REF!</definedName>
    <definedName name="N" localSheetId="0">#REF!</definedName>
    <definedName name="N__EPC">#REF!</definedName>
    <definedName name="nb" hidden="1">{#N/A,#N/A,FALSE,"MO (2)"}</definedName>
    <definedName name="nil">#REF!</definedName>
    <definedName name="NN">#REF!</definedName>
    <definedName name="NOME">#N/A</definedName>
    <definedName name="NOME1">#REF!</definedName>
    <definedName name="NOME1_6">#REF!</definedName>
    <definedName name="Novo">#REF!</definedName>
    <definedName name="OBJETIVO">[14]Plan1!$A$2:$A$7</definedName>
    <definedName name="OBRA">#REF!</definedName>
    <definedName name="OCUPACAO">[14]Plan1!$A$153:$A$158</definedName>
    <definedName name="OFERTAS">[14]Plan1!$A$175:$A$179</definedName>
    <definedName name="oh" localSheetId="0">#REF!</definedName>
    <definedName name="Ok">#REF!</definedName>
    <definedName name="onde">'[13]BAIXO GUANDU ITAIMBE'!#REF!</definedName>
    <definedName name="opções">'[36]FRE '!$AM$248:$AM$250</definedName>
    <definedName name="Orçamento">#REF!</definedName>
    <definedName name="Orçamento_Básico">#REF!</definedName>
    <definedName name="p">#REF!</definedName>
    <definedName name="PADRAO_ACABAMENTO">[14]Plan1!$A$126:$A$133</definedName>
    <definedName name="PADRAO_CONST_PREDOM">[14]Plan1!$A$21:$A$25</definedName>
    <definedName name="PARALELO">#REF!</definedName>
    <definedName name="PARALELO_1">#REF!</definedName>
    <definedName name="Parcial">#REF!</definedName>
    <definedName name="PassaExtenso">"#NAME!PassaExtenso"</definedName>
    <definedName name="PASSARELAS">'[3]Bm 8'!#REF!</definedName>
    <definedName name="PAULO" localSheetId="0">#REF!</definedName>
    <definedName name="pav">#REF!</definedName>
    <definedName name="PAVIM" localSheetId="0">#REF!</definedName>
    <definedName name="PAVIM_17" localSheetId="0">#REF!</definedName>
    <definedName name="PAVIM_8">#REF!</definedName>
    <definedName name="pavimen">#REF!</definedName>
    <definedName name="paviment">#REF!</definedName>
    <definedName name="pelicano">#REF!,#REF!</definedName>
    <definedName name="pEZZIN">#REF!</definedName>
    <definedName name="pinheiros">#REF!,#REF!</definedName>
    <definedName name="PISOS">[14]Plan1!$A$111:$A$120</definedName>
    <definedName name="pl">#REF!,#REF!</definedName>
    <definedName name="Plan">#REF!</definedName>
    <definedName name="PLANILHA">#REF!</definedName>
    <definedName name="POOO">#REF!</definedName>
    <definedName name="POSICAO">[14]Plan1!$A$87:$A$93</definedName>
    <definedName name="PREÇO">("$#REF!.$A$1:$H$65198~$#REF!.$A$1:$AMJ$14)))))))")</definedName>
    <definedName name="PRINT_AREA_MI">#REF!</definedName>
    <definedName name="PRINT_TITLES_MI">#REF!</definedName>
    <definedName name="PROFISSIONAIS">[14]LISTAS!$A$1:$A$13</definedName>
    <definedName name="PROJETO">[4]PLANILHA!#REF!</definedName>
    <definedName name="putzjngirla">#REF!</definedName>
    <definedName name="Q">#REF!</definedName>
    <definedName name="QQ">#REF!</definedName>
    <definedName name="Quadra" hidden="1">{#N/A,#N/A,FALSE,"MO (2)"}</definedName>
    <definedName name="Quant.">#REF!</definedName>
    <definedName name="Quantidades" hidden="1">{#N/A,#N/A,FALSE,"MO (2)"}</definedName>
    <definedName name="quebGYmkknd">#REF!</definedName>
    <definedName name="QUELI">#REF!</definedName>
    <definedName name="qwer">#REF!</definedName>
    <definedName name="RAH">#REF!</definedName>
    <definedName name="RAH_1">#REF!</definedName>
    <definedName name="RE">#REF!</definedName>
    <definedName name="REATERRO">#REF!</definedName>
    <definedName name="REATERRO_DE_VALAS_COMPACTADO_MECANICAMENTE">#REF!</definedName>
    <definedName name="rec">#REF!,#REF!</definedName>
    <definedName name="REC.ATE.">[16]MEMORIAL!#REF!</definedName>
    <definedName name="recuper">#REF!,#REF!</definedName>
    <definedName name="REFORMA">[14]Plan1!$A$149:$A$152</definedName>
    <definedName name="REGISTRO">#REF!</definedName>
    <definedName name="rere">#REF!</definedName>
    <definedName name="RES">#REF!</definedName>
    <definedName name="RESTRICOES">[14]Plan1!$A$38:$A$43</definedName>
    <definedName name="rfv">#REF!</definedName>
    <definedName name="rfv_1">#REF!</definedName>
    <definedName name="rocha">#REF!</definedName>
    <definedName name="rpa">#REF!</definedName>
    <definedName name="rpa_1">#REF!</definedName>
    <definedName name="rpb">#REF!</definedName>
    <definedName name="rpb_1">#REF!</definedName>
    <definedName name="rpp">#REF!</definedName>
    <definedName name="rpp_1">#REF!</definedName>
    <definedName name="rr">#REF!</definedName>
    <definedName name="rrrrrrr">#REF!</definedName>
    <definedName name="rwgnkd">#REF!</definedName>
    <definedName name="s">#REF!</definedName>
    <definedName name="saconhyuu5977962">#REF!</definedName>
    <definedName name="SAD">#REF!</definedName>
    <definedName name="SCO">#REF!</definedName>
    <definedName name="SCOD02.010.0020">#REF!</definedName>
    <definedName name="SCOD02.010.0020_1">#REF!</definedName>
    <definedName name="SCOD02.010.0050">[32]MEMORIAL!#REF!</definedName>
    <definedName name="SCOD02.010.0050_1">[33]MEMORIAL!#REF!</definedName>
    <definedName name="SCOD02.010.0065">[32]MEMORIAL!#REF!</definedName>
    <definedName name="SCOD02.010.0065_1">[33]MEMORIAL!#REF!</definedName>
    <definedName name="SCOD02.010.0130">[32]MEMORIAL!#REF!</definedName>
    <definedName name="SCOD02.010.0130_1">[33]MEMORIAL!#REF!</definedName>
    <definedName name="SCOD03.010.0020">[32]MEMORIAL!#REF!</definedName>
    <definedName name="SCOD03.010.0020_1">[33]MEMORIAL!#REF!</definedName>
    <definedName name="SCOD03.010.0025">[32]MEMORIAL!#REF!</definedName>
    <definedName name="SCOD03.010.0025_1">[33]MEMORIAL!#REF!</definedName>
    <definedName name="SCOD03.010.0040">[32]MEMORIAL!#REF!</definedName>
    <definedName name="SCOD03.010.0040_1">[33]MEMORIAL!#REF!</definedName>
    <definedName name="SCOD03.010.0050">[32]MEMORIAL!#REF!</definedName>
    <definedName name="SCOD03.010.0050_1">[33]MEMORIAL!#REF!</definedName>
    <definedName name="SCOD03.010.0100">[32]MEMORIAL!#REF!</definedName>
    <definedName name="SCOD03.010.0100_1">[33]MEMORIAL!#REF!</definedName>
    <definedName name="SCOD03.010.0180">[32]MEMORIAL!#REF!</definedName>
    <definedName name="SCOD03.010.0180_1">[33]MEMORIAL!#REF!</definedName>
    <definedName name="SCOD03.010.0200">[32]MEMORIAL!#REF!</definedName>
    <definedName name="SCOD03.010.0200_1">[33]MEMORIAL!#REF!</definedName>
    <definedName name="SCOD04.010.0010">[16]MEMORIAL!#REF!</definedName>
    <definedName name="SCOD04.010.0010_1">[16]MEMORIAL!#REF!</definedName>
    <definedName name="SCOD04.010.0040">[16]MEMORIAL!#REF!</definedName>
    <definedName name="SCOD04.010.0040_1">[16]MEMORIAL!#REF!</definedName>
    <definedName name="SCOD04.010.0070">[16]MEMORIAL!#REF!</definedName>
    <definedName name="SCOD04.010.0070_1">[16]MEMORIAL!#REF!</definedName>
    <definedName name="SCOD04.010.0150">[16]MEMORIAL!#REF!</definedName>
    <definedName name="SCOD04.010.0150_1">[16]MEMORIAL!#REF!</definedName>
    <definedName name="SCOD04.010.0190">[16]MEMORIAL!#REF!</definedName>
    <definedName name="SCOD04.010.0190_1">[16]MEMORIAL!#REF!</definedName>
    <definedName name="SCOD04.010.0200">[16]MEMORIAL!#REF!</definedName>
    <definedName name="SCOD04.010.0200_1">[16]MEMORIAL!#REF!</definedName>
    <definedName name="SCOD04.010.0320">[32]MEMORIAL!#REF!</definedName>
    <definedName name="SCOD04.010.0320_1">[16]MEMORIAL!#REF!</definedName>
    <definedName name="SCOD04.010.0330">[32]MEMORIAL!#REF!</definedName>
    <definedName name="SCOD04.010.0330_1">[16]MEMORIAL!#REF!</definedName>
    <definedName name="SCOD04.010.0371">[32]MEMORIAL!#REF!</definedName>
    <definedName name="SCOD04.010.0371_1">[33]MEMORIAL!#REF!</definedName>
    <definedName name="SCOD04.010.0375">[32]MEMORIAL!#REF!</definedName>
    <definedName name="SCOD04.010.0375_1">[16]MEMORIAL!#REF!</definedName>
    <definedName name="SCOD04.010.0395">[32]MEMORIAL!#REF!</definedName>
    <definedName name="SCOD04.010.0395_1">[16]MEMORIAL!#REF!</definedName>
    <definedName name="SCOD04.010.0420">[16]MEMORIAL!#REF!</definedName>
    <definedName name="SCOD04.010.0420_1">[16]MEMORIAL!#REF!</definedName>
    <definedName name="SCOD04.010.0430">[16]MEMORIAL!#REF!</definedName>
    <definedName name="SCOD04.010.0430_1">[16]MEMORIAL!#REF!</definedName>
    <definedName name="SCOD05.010.0020">[32]MEMORIAL!#REF!</definedName>
    <definedName name="SCOD05.010.0020_1">[16]MEMORIAL!#REF!</definedName>
    <definedName name="SCOD08.010.0010">[16]MEMORIAL!#REF!</definedName>
    <definedName name="SCOD08.010.0010_1">[16]MEMORIAL!#REF!</definedName>
    <definedName name="SCOD08.010.0040">[16]MEMORIAL!#REF!</definedName>
    <definedName name="SCOD08.010.0040_1">[16]MEMORIAL!#REF!</definedName>
    <definedName name="SCOD08.010.0060">[32]MEMORIAL!#REF!</definedName>
    <definedName name="SCOD08.010.0060_1">[33]MEMORIAL!#REF!</definedName>
    <definedName name="SCOD08.010.0130">[16]MEMORIAL!#REF!</definedName>
    <definedName name="SCOD08.010.0130_1">[16]MEMORIAL!#REF!</definedName>
    <definedName name="SCOD08.010.0135">[32]MEMORIAL!#REF!</definedName>
    <definedName name="SCOD08.010.0135_1">[16]MEMORIAL!#REF!</definedName>
    <definedName name="SCOD08.010.0270">[32]MEMORIAL!#REF!</definedName>
    <definedName name="SCOD08.010.0270_1">[16]MEMORIAL!#REF!</definedName>
    <definedName name="SCOD09.010.0060">[32]MEMORIAL!#REF!</definedName>
    <definedName name="SCOD09.010.0060_1">[16]MEMORIAL!#REF!</definedName>
    <definedName name="SCOD09.010.0240">[32]MEMORIAL!#REF!</definedName>
    <definedName name="SCOD09.010.0240_1">[33]MEMORIAL!#REF!</definedName>
    <definedName name="SCOD09.010.0430">[32]MEMORIAL!#REF!</definedName>
    <definedName name="SCOD09.010.0430_1">[33]MEMORIAL!#REF!</definedName>
    <definedName name="SCOD09.010.0470">[32]MEMORIAL!#REF!</definedName>
    <definedName name="SCOD09.010.0470_1">[33]MEMORIAL!#REF!</definedName>
    <definedName name="SCOD09.010.0700">[32]MEMORIAL!#REF!</definedName>
    <definedName name="SCOD09.010.0700_1">[33]MEMORIAL!#REF!</definedName>
    <definedName name="SCOD10.010.0140">[32]MEMORIAL!#REF!</definedName>
    <definedName name="SCOD10.010.0140_1">[16]MEMORIAL!#REF!</definedName>
    <definedName name="SCOD10.010.0180">[32]MEMORIAL!#REF!</definedName>
    <definedName name="SCOD10.010.0180_1">[16]MEMORIAL!#REF!</definedName>
    <definedName name="SCOD10.010.0270">[32]MEMORIAL!#REF!</definedName>
    <definedName name="SCOD10.010.0270_1">[33]MEMORIAL!#REF!</definedName>
    <definedName name="SCOD10.010.0280">[32]MEMORIAL!#REF!</definedName>
    <definedName name="SCOD10.010.0280_1">[33]MEMORIAL!#REF!</definedName>
    <definedName name="SCOD10.010.0298">[16]MEMORIAL!#REF!</definedName>
    <definedName name="SCOD10.010.0298_1">[16]MEMORIAL!#REF!</definedName>
    <definedName name="SCOD10.010.0307">[32]MEMORIAL!#REF!</definedName>
    <definedName name="SCOD10.010.0307_1">[33]MEMORIAL!#REF!</definedName>
    <definedName name="SCOD10.010.0308">[32]MEMORIAL!#REF!</definedName>
    <definedName name="SCOD10.010.0308_1">[33]MEMORIAL!#REF!</definedName>
    <definedName name="SCOD10.010.0310">[32]MEMORIAL!#REF!</definedName>
    <definedName name="SCOD10.010.0310_1">[16]MEMORIAL!#REF!</definedName>
    <definedName name="SCOD10.010.0330">[32]MEMORIAL!#REF!</definedName>
    <definedName name="SCOD10.010.0330_1">[33]MEMORIAL!#REF!</definedName>
    <definedName name="SCOD10.010.0333">[32]MEMORIAL!#REF!</definedName>
    <definedName name="SCOD10.010.0333_1">[33]MEMORIAL!#REF!</definedName>
    <definedName name="SCOD10.010.0380">[32]MEMORIAL!#REF!</definedName>
    <definedName name="SCOD10.010.0380_1">[33]MEMORIAL!#REF!</definedName>
    <definedName name="SCOD10.010.0400">[32]MEMORIAL!#REF!</definedName>
    <definedName name="SCOD10.010.0400_1">[33]MEMORIAL!#REF!</definedName>
    <definedName name="SCOD10.010.0431">[32]MEMORIAL!#REF!</definedName>
    <definedName name="SCOD10.010.0431_1">[33]MEMORIAL!#REF!</definedName>
    <definedName name="SCOD10.010.1110">[16]MEMORIAL!#REF!</definedName>
    <definedName name="SCOD10.010.1110_1">[16]MEMORIAL!#REF!</definedName>
    <definedName name="SCOD12.010.0010">[16]MEMORIAL!#REF!</definedName>
    <definedName name="SCOD12.010.0010_1">[16]MEMORIAL!#REF!</definedName>
    <definedName name="SCOD12.010.0060">[32]MEMORIAL!#REF!</definedName>
    <definedName name="SCOD12.010.0060_1">[33]MEMORIAL!#REF!</definedName>
    <definedName name="SCOD12.010.0210">[32]MEMORIAL!#REF!</definedName>
    <definedName name="SCOD12.010.0210_1">[33]MEMORIAL!#REF!</definedName>
    <definedName name="SCOD12.010.0360">[32]MEMORIAL!#REF!</definedName>
    <definedName name="SCOD12.010.0360_1">[33]MEMORIAL!#REF!</definedName>
    <definedName name="SCOD12.010.0550">[32]MEMORIAL!#REF!</definedName>
    <definedName name="SCOD12.010.0550_1">[33]MEMORIAL!#REF!</definedName>
    <definedName name="SCOD13.010.0030">[32]MEMORIAL!#REF!</definedName>
    <definedName name="SCOD13.010.0030_1">[33]MEMORIAL!#REF!</definedName>
    <definedName name="SCOD13.010.0090">[32]MEMORIAL!#REF!</definedName>
    <definedName name="SCOD13.010.0090_1">[33]MEMORIAL!#REF!</definedName>
    <definedName name="SCOD13.010.0100">[16]MEMORIAL!#REF!</definedName>
    <definedName name="SCOD13.010.0100_1">[16]MEMORIAL!#REF!</definedName>
    <definedName name="SCOD13.010.0110">[32]MEMORIAL!#REF!</definedName>
    <definedName name="SCOD13.010.0110_1">[33]MEMORIAL!#REF!</definedName>
    <definedName name="SCOD13.010.1200">[32]MEMORIAL!#REF!</definedName>
    <definedName name="SCOD13.010.1200_1">[33]MEMORIAL!#REF!</definedName>
    <definedName name="SCOD15.010.0010">[32]MEMORIAL!#REF!</definedName>
    <definedName name="SCOD15.010.0010_1">[33]MEMORIAL!#REF!</definedName>
    <definedName name="SCOD15.010.0055">[32]MEMORIAL!#REF!</definedName>
    <definedName name="SCOD15.010.0055_1">[33]MEMORIAL!#REF!</definedName>
    <definedName name="SCOD15.010.0140">[32]MEMORIAL!#REF!</definedName>
    <definedName name="SCOD15.010.0140_1">[33]MEMORIAL!#REF!</definedName>
    <definedName name="SCOD15.010.0181">[32]MEMORIAL!#REF!</definedName>
    <definedName name="SCOD15.010.0181_1">[33]MEMORIAL!#REF!</definedName>
    <definedName name="SCOD15.010.0270">[32]MEMORIAL!#REF!</definedName>
    <definedName name="SCOD15.010.0270_1">[33]MEMORIAL!#REF!</definedName>
    <definedName name="SCOD15.010.0280">[32]MEMORIAL!#REF!</definedName>
    <definedName name="SCOD15.010.0280_1">[16]MEMORIAL!#REF!</definedName>
    <definedName name="SCOD15.010.0290">[16]MEMORIAL!#REF!</definedName>
    <definedName name="SCOD15.010.0290_1">[16]MEMORIAL!#REF!</definedName>
    <definedName name="SCOD16.010.0010">[32]MEMORIAL!#REF!</definedName>
    <definedName name="SCOD16.010.0010_1">[16]MEMORIAL!#REF!</definedName>
    <definedName name="SCOD16.010.0060">[32]MEMORIAL!#REF!</definedName>
    <definedName name="SCOD16.010.0060_1">[33]MEMORIAL!#REF!</definedName>
    <definedName name="SCOD16.010.0110">[32]MEMORIAL!#REF!</definedName>
    <definedName name="SCOD16.010.0110_1">[33]MEMORIAL!#REF!</definedName>
    <definedName name="SCOD16.010.0120">[32]MEMORIAL!#REF!</definedName>
    <definedName name="SCOD16.010.0120_1">[33]MEMORIAL!#REF!</definedName>
    <definedName name="SCOD16.010.0170">[32]MEMORIAL!#REF!</definedName>
    <definedName name="SCOD16.010.0170_1">[33]MEMORIAL!#REF!</definedName>
    <definedName name="SCOD17.010.0080">[32]MEMORIAL!#REF!</definedName>
    <definedName name="SCOD17.010.0080_1">[33]MEMORIAL!#REF!</definedName>
    <definedName name="SCOD17.010.0100">[16]MEMORIAL!#REF!</definedName>
    <definedName name="SCOD17.010.0100_1">[16]MEMORIAL!#REF!</definedName>
    <definedName name="SCOD17.010.0150">[32]MEMORIAL!#REF!</definedName>
    <definedName name="SCOD17.010.0150_1">[33]MEMORIAL!#REF!</definedName>
    <definedName name="SCOD17.010.0290">[32]MEMORIAL!#REF!</definedName>
    <definedName name="SCOD17.010.0290_1">[33]MEMORIAL!#REF!</definedName>
    <definedName name="SCOD17.010.0390">[32]MEMORIAL!#REF!</definedName>
    <definedName name="SCOD17.010.0390_1">[33]MEMORIAL!#REF!</definedName>
    <definedName name="SCOD17.010.0436">[16]MEMORIAL!#REF!</definedName>
    <definedName name="SCOD17.010.0436_1">[16]MEMORIAL!#REF!</definedName>
    <definedName name="SCOD17.010.0437">[32]MEMORIAL!#REF!</definedName>
    <definedName name="SCOD17.010.0437_1">[33]MEMORIAL!#REF!</definedName>
    <definedName name="SCOD17.010.0602">[32]MEMORIAL!#REF!</definedName>
    <definedName name="SCOD17.010.0602_1">[33]MEMORIAL!#REF!</definedName>
    <definedName name="SCODCOMPOSIÇÃO01">[22]MEMORIAL!#REF!</definedName>
    <definedName name="SCODCOMPOSIÇÃO01A">[15]MEMORIAL!#REF!</definedName>
    <definedName name="SCODCOMPOSIÇÃO02">[15]MEMORIAL!#REF!</definedName>
    <definedName name="SCODCOTADO01">[16]MEMORIAL!#REF!</definedName>
    <definedName name="SCODCOTADO01_1">[16]MEMORIAL!#REF!</definedName>
    <definedName name="SCODCOTADO02">[16]MEMORIAL!#REF!</definedName>
    <definedName name="SCODCOTADO02_1">[16]MEMORIAL!#REF!</definedName>
    <definedName name="SCODCOTADO03">[16]MEMORIAL!#REF!</definedName>
    <definedName name="SCODCOTADO03_1">[16]MEMORIAL!#REF!</definedName>
    <definedName name="SCODCOTADO04">[16]MEMORIAL!#REF!</definedName>
    <definedName name="SCODCOTADO04_1">[16]MEMORIAL!#REF!</definedName>
    <definedName name="SCODCOTADO05">[16]MEMORIAL!#REF!</definedName>
    <definedName name="SCODCOTADO05_1">[16]MEMORIAL!#REF!</definedName>
    <definedName name="SCODCOTADO06">[16]MEMORIAL!#REF!</definedName>
    <definedName name="SCODCOTADO06_1">[16]MEMORIAL!#REF!</definedName>
    <definedName name="SCODVERBA01">[15]MEMORIAL!#REF!</definedName>
    <definedName name="SCODVERBA01_1">[16]MEMORIAL!#REF!</definedName>
    <definedName name="SCOMPOS01">[15]MEMORIAL!#REF!</definedName>
    <definedName name="SCOMPOS01_1">[16]MEMORIAL!#REF!</definedName>
    <definedName name="sdaa">#REF!</definedName>
    <definedName name="SEM">[17]SEM!$C$3:$D$535</definedName>
    <definedName name="SEMANAS">'[37]Gauss Civil'!#REF!</definedName>
    <definedName name="SERVIX">'[11]PLANILHA DE QUANT. E CUSTOS A'!#REF!</definedName>
    <definedName name="SERVIX_17">'[11]PLANILHA DE QUANT_ E CUSTOS A'!#REF!</definedName>
    <definedName name="SERVIX_8">'[11]PLANILHA DE QUANT_ E CUSTOS A'!#REF!</definedName>
    <definedName name="sh" localSheetId="0">#REF!</definedName>
    <definedName name="SISTEMA_ESTRUTURAL">[14]Plan1!$A$94:$A$100</definedName>
    <definedName name="SITUACAO">[14]Plan1!$A$60:$A$64</definedName>
    <definedName name="SS" localSheetId="0">#REF!</definedName>
    <definedName name="SSS">#REF!</definedName>
    <definedName name="sssss">#REF!</definedName>
    <definedName name="STOT01.010.0020">[16]MEMORIAL!#REF!</definedName>
    <definedName name="STOT01.010.0020_1">[16]MEMORIAL!#REF!</definedName>
    <definedName name="STOT01.050.0040">[16]MEMORIAL!#REF!</definedName>
    <definedName name="STOT01.050.0040_1">[16]MEMORIAL!#REF!</definedName>
    <definedName name="STOT01.110.0010">[16]MEMORIAL!#REF!</definedName>
    <definedName name="STOT01.110.0010_1">[16]MEMORIAL!#REF!</definedName>
    <definedName name="STOT01.110.0295">[16]MEMORIAL!#REF!</definedName>
    <definedName name="STOT01.110.0295_1">[16]MEMORIAL!#REF!</definedName>
    <definedName name="STOT01.110.0720">[16]MEMORIAL!#REF!</definedName>
    <definedName name="STOT01.110.0720_1">[16]MEMORIAL!#REF!</definedName>
    <definedName name="STOT01.120.O22O">[16]MEMORIAL!#REF!</definedName>
    <definedName name="STOT01.120.O22O_1">[16]MEMORIAL!#REF!</definedName>
    <definedName name="STOT01.150.0130">[16]MEMORIAL!#REF!</definedName>
    <definedName name="STOT01.150.0190">[16]MEMORIAL!#REF!</definedName>
    <definedName name="STOT01.150.0190_1">[16]MEMORIAL!#REF!</definedName>
    <definedName name="STOT01.250.0020">[16]MEMORIAL!#REF!</definedName>
    <definedName name="STOT01.250.0020_1">[16]MEMORIAL!#REF!</definedName>
    <definedName name="STOT01.250.0040">[16]MEMORIAL!#REF!</definedName>
    <definedName name="STOT01.250.0040_1">[16]MEMORIAL!#REF!</definedName>
    <definedName name="STOT01.250.0340">[16]MEMORIAL!#REF!</definedName>
    <definedName name="STOT01.250.0340_1">[16]MEMORIAL!#REF!</definedName>
    <definedName name="STOT01.2500040">[16]MEMORIAL!#REF!</definedName>
    <definedName name="STOT01.2500040_1">[16]MEMORIAL!#REF!</definedName>
    <definedName name="STOT02.010.0020">#REF!</definedName>
    <definedName name="STOT02.010.0020_1">[16]MEMORIAL!#REF!</definedName>
    <definedName name="STOT02.010.0030">[16]MEMORIAL!#REF!</definedName>
    <definedName name="STOT02.010.0030_1">[16]MEMORIAL!#REF!</definedName>
    <definedName name="STOT02.010.0050">[32]MEMORIAL!#REF!</definedName>
    <definedName name="STOT02.010.0050_1">[32]MEMORIAL!#REF!</definedName>
    <definedName name="STOT02.010.0060">[16]MEMORIAL!#REF!</definedName>
    <definedName name="STOT02.010.0060_1">[16]MEMORIAL!#REF!</definedName>
    <definedName name="STOT02.010.0065">[32]MEMORIAL!#REF!</definedName>
    <definedName name="STOT02.010.0065_1">[16]MEMORIAL!#REF!</definedName>
    <definedName name="STOT02.010.0080">[16]MEMORIAL!#REF!</definedName>
    <definedName name="STOT02.010.0080_1">[16]MEMORIAL!#REF!</definedName>
    <definedName name="STOT02.010.0090">[16]MEMORIAL!#REF!</definedName>
    <definedName name="STOT02.010.0090_1">[16]MEMORIAL!#REF!</definedName>
    <definedName name="STOT02.010.0130">[32]MEMORIAL!#REF!</definedName>
    <definedName name="STOT02.010.0130_1">[32]MEMORIAL!#REF!</definedName>
    <definedName name="STOT02.010.0140">[16]MEMORIAL!#REF!</definedName>
    <definedName name="STOT02.010.0140_1">[16]MEMORIAL!#REF!</definedName>
    <definedName name="STOT02.010.0150">[16]MEMORIAL!#REF!</definedName>
    <definedName name="STOT02.010.0150_1">[16]MEMORIAL!#REF!</definedName>
    <definedName name="STOT02.020.0020">[16]MEMORIAL!#REF!</definedName>
    <definedName name="STOT02.020.0020_1">[16]MEMORIAL!#REF!</definedName>
    <definedName name="STOT02.040.0320">[16]MEMORIAL!#REF!</definedName>
    <definedName name="STOT02.040.0320_1">[16]MEMORIAL!#REF!</definedName>
    <definedName name="STOT02.040.3910">[16]MEMORIAL!#REF!</definedName>
    <definedName name="STOT02.040.3910_1">[16]MEMORIAL!#REF!</definedName>
    <definedName name="STOT02.040.3930">[16]MEMORIAL!#REF!</definedName>
    <definedName name="STOT02.040.3930_1">[16]MEMORIAL!#REF!</definedName>
    <definedName name="STOT02.040.7438">[16]MEMORIAL!#REF!</definedName>
    <definedName name="STOT02.040.7438_1">[16]MEMORIAL!#REF!</definedName>
    <definedName name="STOT02.110.0136">[16]MEMORIAL!#REF!</definedName>
    <definedName name="STOT02.110.0136_1">[16]MEMORIAL!#REF!</definedName>
    <definedName name="STOT02.110.0736">[16]MEMORIAL!#REF!</definedName>
    <definedName name="STOT02.110.0736_1">[16]MEMORIAL!#REF!</definedName>
    <definedName name="STOT02.110.1866">[16]MEMORIAL!#REF!</definedName>
    <definedName name="STOT02.110.1866_1">[16]MEMORIAL!#REF!</definedName>
    <definedName name="STOT02.110.2021">[16]MEMORIAL!#REF!</definedName>
    <definedName name="STOT02.110.2021_1">[16]MEMORIAL!#REF!</definedName>
    <definedName name="STOT02.110.2070">[16]MEMORIAL!#REF!</definedName>
    <definedName name="STOT02.110.2070_1">[16]MEMORIAL!#REF!</definedName>
    <definedName name="STOT02.110.2284">[16]MEMORIAL!#REF!</definedName>
    <definedName name="STOT02.110.2284_1">[16]MEMORIAL!#REF!</definedName>
    <definedName name="STOT02.110.2758">[16]MEMORIAL!#REF!</definedName>
    <definedName name="STOT02.110.2758_1">[16]MEMORIAL!#REF!</definedName>
    <definedName name="STOT02.110.3862">[16]MEMORIAL!#REF!</definedName>
    <definedName name="STOT02.110.3862_1">[16]MEMORIAL!#REF!</definedName>
    <definedName name="STOT02.110.3868">[16]MEMORIAL!#REF!</definedName>
    <definedName name="STOT02.110.3926">[16]MEMORIAL!#REF!</definedName>
    <definedName name="STOT02.110.3926_1">[16]MEMORIAL!#REF!</definedName>
    <definedName name="STOT02.110.4292">[16]MEMORIAL!#REF!</definedName>
    <definedName name="STOT02.110.4292_1">[16]MEMORIAL!#REF!</definedName>
    <definedName name="STOT02.110.4760">[16]MEMORIAL!#REF!</definedName>
    <definedName name="STOT02.110.4760_1">[16]MEMORIAL!#REF!</definedName>
    <definedName name="STOT02.120.0010">[16]MEMORIAL!#REF!</definedName>
    <definedName name="STOT02.120.0010_1">[16]MEMORIAL!#REF!</definedName>
    <definedName name="STOT02.120.0040">[16]MEMORIAL!#REF!</definedName>
    <definedName name="STOT02.120.0040_1">[16]MEMORIAL!#REF!</definedName>
    <definedName name="STOT02.140.0040">[16]MEMORIAL!#REF!</definedName>
    <definedName name="STOT02.140.0040_1">[16]MEMORIAL!#REF!</definedName>
    <definedName name="STOT02.160.0010">[16]MEMORIAL!#REF!</definedName>
    <definedName name="STOT02.160.0010_1">[16]MEMORIAL!#REF!</definedName>
    <definedName name="STOT02.160.0075">[16]MEMORIAL!#REF!</definedName>
    <definedName name="STOT02.160.0075_1">[16]MEMORIAL!#REF!</definedName>
    <definedName name="STOT02.210.0030">[16]MEMORIAL!#REF!</definedName>
    <definedName name="STOT02.210.0030_1">[16]MEMORIAL!#REF!</definedName>
    <definedName name="STOT02.210.0110">[16]MEMORIAL!#REF!</definedName>
    <definedName name="STOT02.210.0110_1">[16]MEMORIAL!#REF!</definedName>
    <definedName name="STOT02.210.0290">[16]MEMORIAL!#REF!</definedName>
    <definedName name="STOT02.210.0290_1">[16]MEMORIAL!#REF!</definedName>
    <definedName name="STOT02.210.0320">[16]MEMORIAL!#REF!</definedName>
    <definedName name="STOT02.210.0320_1">[16]MEMORIAL!#REF!</definedName>
    <definedName name="STOT03.010.0020">[32]MEMORIAL!#REF!</definedName>
    <definedName name="STOT03.010.0020_1">[16]MEMORIAL!#REF!</definedName>
    <definedName name="STOT03.010.0025">[32]MEMORIAL!#REF!</definedName>
    <definedName name="STOT03.010.0025_1">[16]MEMORIAL!#REF!</definedName>
    <definedName name="STOT03.010.0040">[32]MEMORIAL!#REF!</definedName>
    <definedName name="STOT03.010.0040_1">[33]MEMORIAL!#REF!</definedName>
    <definedName name="STOT03.010.0050">[32]MEMORIAL!#REF!</definedName>
    <definedName name="STOT03.010.0050_1">[33]MEMORIAL!#REF!</definedName>
    <definedName name="STOT03.010.0100">[32]MEMORIAL!#REF!</definedName>
    <definedName name="STOT03.010.0100_1">[32]MEMORIAL!#REF!</definedName>
    <definedName name="STOT03.010.0140">[16]MEMORIAL!#REF!</definedName>
    <definedName name="STOT03.010.0140_1">[16]MEMORIAL!#REF!</definedName>
    <definedName name="STOT03.010.0160">[16]MEMORIAL!#REF!</definedName>
    <definedName name="STOT03.010.0160_1">[16]MEMORIAL!#REF!</definedName>
    <definedName name="STOT03.010.0170">[16]MEMORIAL!#REF!</definedName>
    <definedName name="STOT03.010.0170_1">[16]MEMORIAL!#REF!</definedName>
    <definedName name="STOT03.010.0180">[32]MEMORIAL!#REF!</definedName>
    <definedName name="STOT03.010.0180_1">[16]MEMORIAL!#REF!</definedName>
    <definedName name="STOT03.010.0190">[16]MEMORIAL!#REF!</definedName>
    <definedName name="STOT03.010.0190_1">[16]MEMORIAL!#REF!</definedName>
    <definedName name="STOT03.010.0200">[32]MEMORIAL!#REF!</definedName>
    <definedName name="STOT03.010.0200_1">[16]MEMORIAL!#REF!</definedName>
    <definedName name="STOT04.010.0010">[16]MEMORIAL!#REF!</definedName>
    <definedName name="STOT04.010.0010_1">[16]MEMORIAL!#REF!</definedName>
    <definedName name="STOT04.010.0040">[16]MEMORIAL!#REF!</definedName>
    <definedName name="STOT04.010.0040_1">[16]MEMORIAL!#REF!</definedName>
    <definedName name="STOT04.010.0070">[16]MEMORIAL!#REF!</definedName>
    <definedName name="STOT04.010.0070_1">[16]MEMORIAL!#REF!</definedName>
    <definedName name="STOT04.010.0150">[16]MEMORIAL!#REF!</definedName>
    <definedName name="STOT04.010.0150_1">[16]MEMORIAL!#REF!</definedName>
    <definedName name="STOT04.010.0190">[16]MEMORIAL!#REF!</definedName>
    <definedName name="STOT04.010.0190_1">[16]MEMORIAL!#REF!</definedName>
    <definedName name="STOT04.010.0200">[16]MEMORIAL!#REF!</definedName>
    <definedName name="STOT04.010.0200_1">[16]MEMORIAL!#REF!</definedName>
    <definedName name="STOT04.010.0290">#REF!</definedName>
    <definedName name="STOT04.010.0290_1">[38]MEMORIAL!#REF!</definedName>
    <definedName name="STOT04.010.0320">[32]MEMORIAL!#REF!</definedName>
    <definedName name="STOT04.010.0320_1">[16]MEMORIAL!#REF!</definedName>
    <definedName name="stot04.010.0330">#REF!</definedName>
    <definedName name="STOT04.010.0330_1">[16]MEMORIAL!#REF!</definedName>
    <definedName name="STOT04.010.0371">[32]MEMORIAL!#REF!</definedName>
    <definedName name="STOT04.010.0371_1">[33]MEMORIAL!#REF!</definedName>
    <definedName name="STOT04.010.0375">[32]MEMORIAL!#REF!</definedName>
    <definedName name="STOT04.010.0375_1">[16]MEMORIAL!#REF!</definedName>
    <definedName name="STOT04.010.0395">[32]MEMORIAL!#REF!</definedName>
    <definedName name="STOT04.010.0395_1">[16]MEMORIAL!#REF!</definedName>
    <definedName name="STOT04.010.0420">[16]MEMORIAL!#REF!</definedName>
    <definedName name="STOT04.010.0420_1">[16]MEMORIAL!#REF!</definedName>
    <definedName name="STOT04.010.0430">[16]MEMORIAL!#REF!</definedName>
    <definedName name="STOT04.010.0430_1">[16]MEMORIAL!#REF!</definedName>
    <definedName name="STOT05.010.0020">[32]MEMORIAL!#REF!</definedName>
    <definedName name="STOT05.010.0020_1">[16]MEMORIAL!#REF!</definedName>
    <definedName name="STOT05.110.0005">[16]MEMORIAL!#REF!</definedName>
    <definedName name="STOT05.110.0005_1">[16]MEMORIAL!#REF!</definedName>
    <definedName name="STOT05.110.0420">[16]MEMORIAL!#REF!</definedName>
    <definedName name="STOT05.110.0420_1">[16]MEMORIAL!#REF!</definedName>
    <definedName name="STOT05.110.1300">[16]MEMORIAL!#REF!</definedName>
    <definedName name="STOT05.110.1300_1">[16]MEMORIAL!#REF!</definedName>
    <definedName name="STOT05.110.1565">[16]MEMORIAL!#REF!</definedName>
    <definedName name="STOT05.110.1565_1">[16]MEMORIAL!#REF!</definedName>
    <definedName name="STOT05.110.1590">[16]MEMORIAL!#REF!</definedName>
    <definedName name="STOT05.110.1590_1">[16]MEMORIAL!#REF!</definedName>
    <definedName name="STOT05.110.1620">[16]MEMORIAL!#REF!</definedName>
    <definedName name="STOT05.120.0060">[16]MEMORIAL!#REF!</definedName>
    <definedName name="STOT05.120.0060_1">[16]MEMORIAL!#REF!</definedName>
    <definedName name="STOT06.010.0010">[16]MEMORIAL!#REF!</definedName>
    <definedName name="STOT06.010.0010_1">[16]MEMORIAL!#REF!</definedName>
    <definedName name="STOT08.010.0010">[16]MEMORIAL!#REF!</definedName>
    <definedName name="STOT08.010.0010_1">[16]MEMORIAL!#REF!</definedName>
    <definedName name="STOT08.010.0040">[16]MEMORIAL!#REF!</definedName>
    <definedName name="STOT08.010.0040_1">[16]MEMORIAL!#REF!</definedName>
    <definedName name="STOT08.010.0060">[32]MEMORIAL!#REF!</definedName>
    <definedName name="STOT08.010.0060_1">[33]MEMORIAL!#REF!</definedName>
    <definedName name="STOT08.010.0120">[32]MEMORIAL!#REF!</definedName>
    <definedName name="STOT08.010.0120_1">[16]MEMORIAL!#REF!</definedName>
    <definedName name="STOT08.010.0130">[16]MEMORIAL!#REF!</definedName>
    <definedName name="STOT08.010.0130_1">[16]MEMORIAL!#REF!</definedName>
    <definedName name="STOT08.010.0135">[32]MEMORIAL!#REF!</definedName>
    <definedName name="STOT08.010.0135_1">[16]MEMORIAL!#REF!</definedName>
    <definedName name="STOT08.010.0190">[16]MEMORIAL!#REF!</definedName>
    <definedName name="STOT08.010.0190_1">[16]MEMORIAL!#REF!</definedName>
    <definedName name="STOT08.010.0270">[32]MEMORIAL!#REF!</definedName>
    <definedName name="STOT08.010.0270_1">[16]MEMORIAL!#REF!</definedName>
    <definedName name="STOT080.010.0350">[16]MEMORIAL!#REF!</definedName>
    <definedName name="STOT080.010.0350_1">[16]MEMORIAL!#REF!</definedName>
    <definedName name="STOT09.010.0060">[32]MEMORIAL!#REF!</definedName>
    <definedName name="STOT09.010.0060_1">[16]MEMORIAL!#REF!</definedName>
    <definedName name="STOT09.010.0070">[16]MEMORIAL!#REF!</definedName>
    <definedName name="STOT09.010.0070_1">[16]MEMORIAL!#REF!</definedName>
    <definedName name="STOT09.010.0240">[32]MEMORIAL!#REF!</definedName>
    <definedName name="STOT09.010.0240_1">[16]MEMORIAL!#REF!</definedName>
    <definedName name="STOT09.010.0380">[16]MEMORIAL!#REF!</definedName>
    <definedName name="STOT09.010.0380_1">[16]MEMORIAL!#REF!</definedName>
    <definedName name="STOT09.010.0430">[32]MEMORIAL!#REF!</definedName>
    <definedName name="STOT09.010.0430_1">[16]MEMORIAL!#REF!</definedName>
    <definedName name="STOT09.010.0470">[32]MEMORIAL!#REF!</definedName>
    <definedName name="STOT09.010.0470_1">[16]MEMORIAL!#REF!</definedName>
    <definedName name="STOT09.010.0700">[32]MEMORIAL!#REF!</definedName>
    <definedName name="STOT09.010.0700_1">[16]MEMORIAL!#REF!</definedName>
    <definedName name="STOT10.010.0140">[32]MEMORIAL!#REF!</definedName>
    <definedName name="STOT10.010.0140_1">[16]MEMORIAL!#REF!</definedName>
    <definedName name="STOT10.010.0150">[16]MEMORIAL!#REF!</definedName>
    <definedName name="STOT10.010.0150_1">[16]MEMORIAL!#REF!</definedName>
    <definedName name="STOT10.010.0180">[32]MEMORIAL!#REF!</definedName>
    <definedName name="STOT10.010.0180_1">[16]MEMORIAL!#REF!</definedName>
    <definedName name="STOT10.010.0270">[32]MEMORIAL!#REF!</definedName>
    <definedName name="STOT10.010.0270_1">[33]MEMORIAL!#REF!</definedName>
    <definedName name="STOT10.010.0280">[32]MEMORIAL!#REF!</definedName>
    <definedName name="STOT10.010.0280_1">[16]MEMORIAL!#REF!</definedName>
    <definedName name="STOT10.010.0290">[16]MEMORIAL!#REF!</definedName>
    <definedName name="STOT10.010.0290_1">[16]MEMORIAL!#REF!</definedName>
    <definedName name="STOT10.010.0298">[16]MEMORIAL!#REF!</definedName>
    <definedName name="STOT10.010.0298_1">[16]MEMORIAL!#REF!</definedName>
    <definedName name="STOT10.010.0307">[32]MEMORIAL!#REF!</definedName>
    <definedName name="STOT10.010.0307_1">[16]MEMORIAL!#REF!</definedName>
    <definedName name="STOT10.010.0308">[32]MEMORIAL!#REF!</definedName>
    <definedName name="STOT10.010.0308_1">[16]MEMORIAL!#REF!</definedName>
    <definedName name="STOT10.010.0310">[32]MEMORIAL!#REF!</definedName>
    <definedName name="STOT10.010.0310_1">[16]MEMORIAL!#REF!</definedName>
    <definedName name="STOT10.010.0330">[32]MEMORIAL!#REF!</definedName>
    <definedName name="STOT10.010.0330_1">[16]MEMORIAL!#REF!</definedName>
    <definedName name="STOT10.010.0333">[32]MEMORIAL!#REF!</definedName>
    <definedName name="STOT10.010.0333_1">[16]MEMORIAL!#REF!</definedName>
    <definedName name="STOT10.010.0350">[16]MEMORIAL!#REF!</definedName>
    <definedName name="STOT10.010.0350_1">[16]MEMORIAL!#REF!</definedName>
    <definedName name="STOT10.010.0380">[32]MEMORIAL!#REF!</definedName>
    <definedName name="STOT10.010.0380_1">[16]MEMORIAL!#REF!</definedName>
    <definedName name="STOT10.010.0400">[32]MEMORIAL!#REF!</definedName>
    <definedName name="STOT10.010.0400_1">[16]MEMORIAL!#REF!</definedName>
    <definedName name="STOT10.010.0431">[32]MEMORIAL!#REF!</definedName>
    <definedName name="STOT10.010.0431_1">[16]MEMORIAL!#REF!</definedName>
    <definedName name="STOT10.010.1100">[16]MEMORIAL!#REF!</definedName>
    <definedName name="STOT10.010.1100_1">[16]MEMORIAL!#REF!</definedName>
    <definedName name="STOT10.010.1110">[16]MEMORIAL!#REF!</definedName>
    <definedName name="STOT10.010.1110_1">[16]MEMORIAL!#REF!</definedName>
    <definedName name="STOT12.010.0010">[16]MEMORIAL!#REF!</definedName>
    <definedName name="STOT12.010.0010_1">[16]MEMORIAL!#REF!</definedName>
    <definedName name="STOT12.010.0050">[16]MEMORIAL!#REF!</definedName>
    <definedName name="STOT12.010.0050_1">[16]MEMORIAL!#REF!</definedName>
    <definedName name="STOT12.010.0060">[32]MEMORIAL!#REF!</definedName>
    <definedName name="STOT12.010.0060_1">[16]MEMORIAL!#REF!</definedName>
    <definedName name="STOT12.010.0210">[32]MEMORIAL!#REF!</definedName>
    <definedName name="STOT12.010.0210_1">[16]MEMORIAL!#REF!</definedName>
    <definedName name="STOT12.010.0300">[16]MEMORIAL!#REF!</definedName>
    <definedName name="STOT12.010.0300_1">[16]MEMORIAL!#REF!</definedName>
    <definedName name="STOT12.010.0340">[16]MEMORIAL!#REF!</definedName>
    <definedName name="STOT12.010.0340_1">[16]MEMORIAL!#REF!</definedName>
    <definedName name="STOT12.010.0360">[32]MEMORIAL!#REF!</definedName>
    <definedName name="STOT12.010.0360_1">[16]MEMORIAL!#REF!</definedName>
    <definedName name="STOT12.010.0550">[32]MEMORIAL!#REF!</definedName>
    <definedName name="STOT12.010.0550_1">[16]MEMORIAL!#REF!</definedName>
    <definedName name="STOT13.010.0030">[32]MEMORIAL!#REF!</definedName>
    <definedName name="STOT13.010.0030_1">[33]MEMORIAL!#REF!</definedName>
    <definedName name="STOT13.010.0040">[16]MEMORIAL!#REF!</definedName>
    <definedName name="STOT13.010.0040_1">[16]MEMORIAL!#REF!</definedName>
    <definedName name="STOT13.010.0090">[32]MEMORIAL!#REF!</definedName>
    <definedName name="STOT13.010.0090_1">[16]MEMORIAL!#REF!</definedName>
    <definedName name="STOT13.010.0100">[16]MEMORIAL!#REF!</definedName>
    <definedName name="STOT13.010.0100_1">[16]MEMORIAL!#REF!</definedName>
    <definedName name="STOT13.010.0110">[32]MEMORIAL!#REF!</definedName>
    <definedName name="STOT13.010.0110_1">[16]MEMORIAL!#REF!</definedName>
    <definedName name="STOT13.010.0350">[16]MEMORIAL!#REF!</definedName>
    <definedName name="STOT13.010.0350_1">[16]MEMORIAL!#REF!</definedName>
    <definedName name="STOT13.010.0360">[16]MEMORIAL!#REF!</definedName>
    <definedName name="STOT13.010.0360_1">[16]MEMORIAL!#REF!</definedName>
    <definedName name="STOT13.010.0380">[16]MEMORIAL!#REF!</definedName>
    <definedName name="STOT13.010.0380_1">[16]MEMORIAL!#REF!</definedName>
    <definedName name="STOT13.010.0410">[16]MEMORIAL!#REF!</definedName>
    <definedName name="STOT13.010.0410_1">[16]MEMORIAL!#REF!</definedName>
    <definedName name="STOT13.010.0860">[16]MEMORIAL!#REF!</definedName>
    <definedName name="STOT13.010.0860_1">[16]MEMORIAL!#REF!</definedName>
    <definedName name="STOT13.010.0880">[16]MEMORIAL!#REF!</definedName>
    <definedName name="STOT13.010.0880_1">[16]MEMORIAL!#REF!</definedName>
    <definedName name="STOT13.010.1200">[32]MEMORIAL!#REF!</definedName>
    <definedName name="STOT13.010.1200_1">[16]MEMORIAL!#REF!</definedName>
    <definedName name="STOT15.010.0010">#REF!</definedName>
    <definedName name="STOT15.010.0010_1">[33]MEMORIAL!#REF!</definedName>
    <definedName name="STOT15.010.0040">#REF!</definedName>
    <definedName name="STOT15.010.0040_1">[38]MEMORIAL!#REF!</definedName>
    <definedName name="STOT15.010.0055">#REF!</definedName>
    <definedName name="STOT15.010.0055_1">[33]MEMORIAL!#REF!</definedName>
    <definedName name="STOT15.010.0140">[32]MEMORIAL!#REF!</definedName>
    <definedName name="STOT15.010.0140_1">[33]MEMORIAL!#REF!</definedName>
    <definedName name="STOT15.010.0181">[32]MEMORIAL!#REF!</definedName>
    <definedName name="STOT15.010.0181_1">[33]MEMORIAL!#REF!</definedName>
    <definedName name="STOT15.010.0270">[32]MEMORIAL!#REF!</definedName>
    <definedName name="STOT15.010.0270_1">[16]MEMORIAL!#REF!</definedName>
    <definedName name="STOT15.010.0280">[32]MEMORIAL!#REF!</definedName>
    <definedName name="STOT15.010.0280_1">[16]MEMORIAL!#REF!</definedName>
    <definedName name="STOT15.010.0290">[16]MEMORIAL!#REF!</definedName>
    <definedName name="STOT15.010.0290_1">[16]MEMORIAL!#REF!</definedName>
    <definedName name="stot16.010.0000">[32]MEMORIAL!#REF!</definedName>
    <definedName name="STOT16.010.0010">[32]MEMORIAL!#REF!</definedName>
    <definedName name="STOT16.010.0010_1">[16]MEMORIAL!#REF!</definedName>
    <definedName name="STOT16.010.0060">[32]MEMORIAL!#REF!</definedName>
    <definedName name="STOT16.010.0060_1">[16]MEMORIAL!#REF!</definedName>
    <definedName name="stot16.010.0061">[32]MEMORIAL!#REF!</definedName>
    <definedName name="STOT16.010.0110">[32]MEMORIAL!#REF!</definedName>
    <definedName name="STOT16.010.0110_1">[16]MEMORIAL!#REF!</definedName>
    <definedName name="STOT16.010.0120">[32]MEMORIAL!#REF!</definedName>
    <definedName name="STOT16.010.0120_1">[16]MEMORIAL!#REF!</definedName>
    <definedName name="STOT16.010.0150">[16]MEMORIAL!#REF!</definedName>
    <definedName name="STOT16.010.0150_1">[16]MEMORIAL!#REF!</definedName>
    <definedName name="STOT16.010.0170">[32]MEMORIAL!#REF!</definedName>
    <definedName name="STOT16.010.0170_1">[16]MEMORIAL!#REF!</definedName>
    <definedName name="STOT17.010.0080">[32]MEMORIAL!#REF!</definedName>
    <definedName name="STOT17.010.0080_1">[16]MEMORIAL!#REF!</definedName>
    <definedName name="STOT17.010.0100">[16]MEMORIAL!#REF!</definedName>
    <definedName name="STOT17.010.0100_1">[16]MEMORIAL!#REF!</definedName>
    <definedName name="STOT17.010.0120">[16]MEMORIAL!#REF!</definedName>
    <definedName name="STOT17.010.0120_1">[16]MEMORIAL!#REF!</definedName>
    <definedName name="STOT17.010.0150">[32]MEMORIAL!#REF!</definedName>
    <definedName name="STOT17.010.0150_1">[16]MEMORIAL!#REF!</definedName>
    <definedName name="STOT17.010.0290">[32]MEMORIAL!#REF!</definedName>
    <definedName name="STOT17.010.0290_1">[16]MEMORIAL!#REF!</definedName>
    <definedName name="STOT17.010.0350">[16]MEMORIAL!#REF!</definedName>
    <definedName name="STOT17.010.0350_1">[16]MEMORIAL!#REF!</definedName>
    <definedName name="STOT17.010.0390">[32]MEMORIAL!#REF!</definedName>
    <definedName name="STOT17.010.0390_1">[33]MEMORIAL!#REF!</definedName>
    <definedName name="STOT17.010.0437">[32]MEMORIAL!#REF!</definedName>
    <definedName name="STOT17.010.0437_1">[33]MEMORIAL!#REF!</definedName>
    <definedName name="STOT17.010.0602">[32]MEMORIAL!#REF!</definedName>
    <definedName name="STOT17.010.0602_1">[33]MEMORIAL!#REF!</definedName>
    <definedName name="STOTCOMPOS01">[32]MEMORIAL!#REF!</definedName>
    <definedName name="STOTCOMPOS01_1">[33]MEMORIAL!#REF!</definedName>
    <definedName name="Super">#REF!</definedName>
    <definedName name="SUPERFICIE">[14]Plan1!$A$65:$A$69</definedName>
    <definedName name="sxrhysxdd" localSheetId="0">#REF!</definedName>
    <definedName name="T">#REF!</definedName>
    <definedName name="tab">[26]recursos!$A$2:$E$58</definedName>
    <definedName name="Tabela">#REF!</definedName>
    <definedName name="Tabela_1">#REF!</definedName>
    <definedName name="Tabela_1_6">#REF!</definedName>
    <definedName name="Tabela_10">#REF!</definedName>
    <definedName name="Tabela_2">#REF!</definedName>
    <definedName name="Tabela_3">#REF!</definedName>
    <definedName name="Tabela_4">#REF!</definedName>
    <definedName name="Tabela_5">#REF!</definedName>
    <definedName name="Tabela_5_1">#REF!</definedName>
    <definedName name="Tabela_6">#REF!</definedName>
    <definedName name="tabela1">#REF!</definedName>
    <definedName name="TableName">"Dummy"</definedName>
    <definedName name="TABREC">'[39]TABELA RECURSOS'!$A$1:$G$142</definedName>
    <definedName name="teca1">#REF!,#REF!</definedName>
    <definedName name="tecn">#REF!</definedName>
    <definedName name="tecni">#REF!</definedName>
    <definedName name="tecnic">#REF!</definedName>
    <definedName name="TECNICA">#REF!</definedName>
    <definedName name="TECNICA_17">#REF!</definedName>
    <definedName name="TECNICA_8">#REF!</definedName>
    <definedName name="tera">#REF!,#REF!</definedName>
    <definedName name="terdvvd">[16]MEMORIAL!#REF!</definedName>
    <definedName name="TERRA">#REF!</definedName>
    <definedName name="TERRA_1">#REF!</definedName>
    <definedName name="TERRAPL">#REF!</definedName>
    <definedName name="TERRAPL_17">#REF!</definedName>
    <definedName name="TERRAPL_8">#REF!</definedName>
    <definedName name="terraple">#REF!</definedName>
    <definedName name="terraplen">#REF!</definedName>
    <definedName name="terraplenagem">#REF!</definedName>
    <definedName name="TEST">'[40]17-MOI'!#REF!</definedName>
    <definedName name="teste">'[11]PLANILHA DE QUANT. E CUSTOS A'!#REF!</definedName>
    <definedName name="teste_teste_aggs">#REF!</definedName>
    <definedName name="TETOS">[14]Plan1!$A$106:$A$110</definedName>
    <definedName name="thdfa">#REF!</definedName>
    <definedName name="TIPO">[14]Plan1!$A$73:$A$79</definedName>
    <definedName name="_xlnm.Print_Titles" localSheetId="0">'10 - RESUMO'!$1:$14</definedName>
    <definedName name="_xlnm.Print_Titles" localSheetId="2">'11 - FINANCEIRA'!$2:$14</definedName>
    <definedName name="_xlnm.Print_Titles" localSheetId="3">'12 - CORPO'!$1:$12</definedName>
    <definedName name="_xlnm.Print_Titles">#REF!</definedName>
    <definedName name="tot">#REF!</definedName>
    <definedName name="TOTAL" localSheetId="0">#REF!</definedName>
    <definedName name="TOTAL_17" localSheetId="0">#REF!</definedName>
    <definedName name="TOTAL_8" localSheetId="0">#REF!</definedName>
    <definedName name="totalg">#REF!</definedName>
    <definedName name="totalissimo">#REF!</definedName>
    <definedName name="TOTALMATERIAL">#REF!</definedName>
    <definedName name="TOTALMATERIAL_1">#REF!</definedName>
    <definedName name="TOTALSERVIÇO">'[41]Serviços Água'!#REF!</definedName>
    <definedName name="TOTALSERVIÇO_1">#REF!</definedName>
    <definedName name="totaltotal">#REF!</definedName>
    <definedName name="TOTFASE">'[41]Serviços Água'!#REF!</definedName>
    <definedName name="TOTFASE_1">'[18]Rede de Distribuição de Água'!#REF!</definedName>
    <definedName name="TOTFASE_5">'[18]Rede de Distribuição de Água'!#REF!</definedName>
    <definedName name="TOTFASE_6">'[18]Rede de Distribuição de Água'!#REF!</definedName>
    <definedName name="trdjgfxj">#REF!</definedName>
    <definedName name="troca">#REF!</definedName>
    <definedName name="trocaee">#REF!</definedName>
    <definedName name="trocarrrr">#REF!</definedName>
    <definedName name="tudo">"$#REF!.$A$7:$G$67"</definedName>
    <definedName name="TxCresc">'[23]TodasTraf-2000-NoPrint'!$C$7:$L$17</definedName>
    <definedName name="um">'[13]BAIXO GUANDU ITAIMBE'!#REF!</definedName>
    <definedName name="Unit.">#REF!</definedName>
    <definedName name="USO">[14]Plan1!$A$80:$A$86</definedName>
    <definedName name="VAA">#REF!</definedName>
    <definedName name="VAA_1">#REF!</definedName>
    <definedName name="VALOR_ADITIVO">#REF!</definedName>
    <definedName name="valor_adtidivo">#REF!</definedName>
    <definedName name="valor_cont">#REF!</definedName>
    <definedName name="valor_contr">#REF!</definedName>
    <definedName name="VALOR_CONTRATO">#REF!</definedName>
    <definedName name="VALOR_UNIT_ADOTADO">[14]Plan1!$A$214:$A$219</definedName>
    <definedName name="valoraditi">#REF!</definedName>
    <definedName name="valoraditivo">#REF!</definedName>
    <definedName name="valorcon">#REF!</definedName>
    <definedName name="valorcontrato">#REF!</definedName>
    <definedName name="Valores">#REF!</definedName>
    <definedName name="VALORES_VALORES_Listar">#REF!</definedName>
    <definedName name="VAT">[15]MEMORIAL!#REF!</definedName>
    <definedName name="VAT_1">[16]MEMORIAL!#REF!</definedName>
    <definedName name="VBF">#REF!</definedName>
    <definedName name="VBF_1">#REF!</definedName>
    <definedName name="ve">#REF!</definedName>
    <definedName name="ve_1">#REF!</definedName>
    <definedName name="VE1_1">#REF!</definedName>
    <definedName name="VEC">#REF!</definedName>
    <definedName name="VELOCIDADE">[14]Plan1!$A$188:$A$192</definedName>
    <definedName name="VENT_ILUM.NATURAL">[14]Plan1!$A$141:$A$144</definedName>
    <definedName name="VICIOS">[14]Plan1!$A$166:$A$168</definedName>
    <definedName name="VO">#REF!</definedName>
    <definedName name="VO_1">#REF!</definedName>
    <definedName name="VO1_1">[10]MEMORIAL!#REF!</definedName>
    <definedName name="VOC">#REF!</definedName>
    <definedName name="Vol_Estrutural">[15]MEMORIAL!#REF!</definedName>
    <definedName name="Vol_Estrutural_1">[33]MEMORIAL!#REF!</definedName>
    <definedName name="VOLCON">[15]MEMORIAL!#REF!</definedName>
    <definedName name="VOLCON_1">[15]MEMORIAL!#REF!</definedName>
    <definedName name="VOLCONC">[32]MEMORIAL!#REF!</definedName>
    <definedName name="VOLCONC_1">[33]MEMORIAL!#REF!</definedName>
    <definedName name="Volume">#REF!</definedName>
    <definedName name="vr">#REF!</definedName>
    <definedName name="VR_1">#REF!</definedName>
    <definedName name="VRC">#REF!</definedName>
    <definedName name="VTE">[15]MEMORIAL!#REF!</definedName>
    <definedName name="VTE_1">[16]MEMORIAL!#REF!</definedName>
    <definedName name="wrn.mo2." hidden="1">{#N/A,#N/A,FALSE,"MO (2)"}</definedName>
    <definedName name="wrn.mo3." hidden="1">{#N/A,#N/A,FALSE,"MO (2)"}</definedName>
    <definedName name="wrn.PENDENCIAS." hidden="1">{#N/A,#N/A,FALSE,"GERAL";#N/A,#N/A,FALSE,"012-96";#N/A,#N/A,FALSE,"018-96";#N/A,#N/A,FALSE,"027-96";#N/A,#N/A,FALSE,"059-96";#N/A,#N/A,FALSE,"076-96";#N/A,#N/A,FALSE,"019-97";#N/A,#N/A,FALSE,"021-97";#N/A,#N/A,FALSE,"022-97";#N/A,#N/A,FALSE,"028-97"}</definedName>
    <definedName name="wrn.RELAT_EAP." hidden="1">{#N/A,#N/A,FALSE,"EAP";#N/A,#N/A,FALSE,"CURVA AV.FÍSICO";#N/A,#N/A,FALSE,"CURVA AV.FINANC."}</definedName>
    <definedName name="ww">#REF!</definedName>
    <definedName name="WWWW">#REF!</definedName>
    <definedName name="X">("$#REF!.$A$1:$H$65204~$#REF!.$A$1:$AMJ$14)))))))")</definedName>
    <definedName name="xcvbn">#REF!</definedName>
    <definedName name="xdhsd">#REF!</definedName>
    <definedName name="XFXGFT">#REF!</definedName>
    <definedName name="XS">("$#REF!.$A$1:$H$65207~$#REF!.$A$1:$AMJ$14)))))))")</definedName>
    <definedName name="XSS">("$#REF!.$A$1:$H$65204~$#REF!.$A$1:$AMJ$14)))))))")</definedName>
    <definedName name="xx">#REF!,#REF!</definedName>
    <definedName name="XXX2">#REF!,#REF!</definedName>
    <definedName name="xxxxx">#REF!,#REF!</definedName>
    <definedName name="xxxxxxx">#REF!,#REF!</definedName>
    <definedName name="xxxxxxxxx">#REF!,#REF!</definedName>
    <definedName name="xzdhd">#REF!</definedName>
    <definedName name="ygfnjj">#REF!</definedName>
    <definedName name="Z">#REF!</definedName>
    <definedName name="ZA">#REF!</definedName>
    <definedName name="zb">[25]Metodologia!$M$6</definedName>
    <definedName name="zp">[25]Metodologia!$M$7</definedName>
    <definedName name="zs">[25]Metodologia!$M$8</definedName>
    <definedName name="ZZZZZB2">#REF!,#REF!</definedName>
    <definedName name="zzzzzzz">#REF!,#REF!</definedName>
    <definedName name="ZZZZZZZZZZ2">#REF!,#REF!</definedName>
    <definedName name="ZZZZZZZZZZZ">#REF!,#REF!</definedName>
    <definedName name="ZZZZZZZZZZZZZZZZZZZZZZZZ">#REF!,#REF!</definedName>
  </definedNames>
  <calcPr calcId="181029"/>
</workbook>
</file>

<file path=xl/calcChain.xml><?xml version="1.0" encoding="utf-8"?>
<calcChain xmlns="http://schemas.openxmlformats.org/spreadsheetml/2006/main">
  <c r="O410" i="3" l="1"/>
  <c r="C1831" i="3"/>
  <c r="C1372" i="3"/>
  <c r="J1159" i="3"/>
  <c r="N927" i="3" l="1"/>
  <c r="O927" i="3"/>
  <c r="R927" i="3" s="1"/>
  <c r="J867" i="3"/>
  <c r="R326" i="3"/>
  <c r="R1901" i="3"/>
  <c r="R1861" i="3"/>
  <c r="R1583" i="3"/>
  <c r="R410" i="3"/>
  <c r="R978" i="3" l="1"/>
  <c r="R976" i="3"/>
  <c r="R974" i="3" l="1"/>
  <c r="R967" i="3"/>
  <c r="W979" i="3" l="1"/>
  <c r="AD85" i="2"/>
  <c r="O898" i="3" l="1"/>
  <c r="R898" i="3" s="1"/>
  <c r="O899" i="3"/>
  <c r="R899" i="3" s="1"/>
  <c r="N946" i="3"/>
  <c r="R946" i="3" s="1"/>
  <c r="R950" i="3" s="1"/>
  <c r="N937" i="3"/>
  <c r="R937" i="3" s="1"/>
  <c r="K324" i="3"/>
  <c r="O324" i="3" s="1"/>
  <c r="R324" i="3" s="1"/>
  <c r="K1209" i="3"/>
  <c r="K626" i="3"/>
  <c r="K1244" i="3"/>
  <c r="N1244" i="3" s="1"/>
  <c r="R1244" i="3" s="1"/>
  <c r="K1243" i="3"/>
  <c r="N1243" i="3"/>
  <c r="R1243" i="3" s="1"/>
  <c r="O1436" i="3"/>
  <c r="O1435" i="3"/>
  <c r="O1434" i="3"/>
  <c r="O1433" i="3"/>
  <c r="O1209" i="3" l="1"/>
  <c r="R1209" i="3" s="1"/>
  <c r="O626" i="3"/>
  <c r="R626" i="3" s="1"/>
  <c r="F1670" i="3"/>
  <c r="K1670" i="3" s="1"/>
  <c r="P1670" i="3"/>
  <c r="H1670" i="3"/>
  <c r="E1670" i="3"/>
  <c r="K1662" i="3"/>
  <c r="R1662" i="3" s="1"/>
  <c r="K1663" i="3"/>
  <c r="R1663" i="3" s="1"/>
  <c r="K1664" i="3"/>
  <c r="R1664" i="3" s="1"/>
  <c r="G852" i="3"/>
  <c r="G1908" i="3" s="1"/>
  <c r="G1887" i="3" s="1"/>
  <c r="G1844" i="3" s="1"/>
  <c r="G1763" i="3" s="1"/>
  <c r="I852" i="3"/>
  <c r="D852" i="3"/>
  <c r="D1908" i="3" s="1"/>
  <c r="D1887" i="3" s="1"/>
  <c r="D1844" i="3" s="1"/>
  <c r="D1763" i="3" s="1"/>
  <c r="F852" i="3"/>
  <c r="P1666" i="3"/>
  <c r="G1667" i="3"/>
  <c r="I1667" i="3"/>
  <c r="D1667" i="3"/>
  <c r="F1667" i="3"/>
  <c r="P1667" i="3"/>
  <c r="G1668" i="3"/>
  <c r="I1668" i="3"/>
  <c r="D1668" i="3"/>
  <c r="F1668" i="3"/>
  <c r="P1668" i="3"/>
  <c r="G1669" i="3"/>
  <c r="I1669" i="3"/>
  <c r="D1669" i="3"/>
  <c r="F1669" i="3"/>
  <c r="P1669" i="3"/>
  <c r="R1746" i="3"/>
  <c r="O1774" i="3"/>
  <c r="R1774" i="3" s="1"/>
  <c r="O1775" i="3"/>
  <c r="R1775" i="3" s="1"/>
  <c r="O1776" i="3"/>
  <c r="R1776" i="3" s="1"/>
  <c r="O1777" i="3"/>
  <c r="R1777" i="3" s="1"/>
  <c r="O1778" i="3"/>
  <c r="R1778" i="3" s="1"/>
  <c r="O1779" i="3"/>
  <c r="R1779" i="3" s="1"/>
  <c r="O1780" i="3"/>
  <c r="R1780" i="3" s="1"/>
  <c r="O1781" i="3"/>
  <c r="R1781" i="3" s="1"/>
  <c r="O1782" i="3"/>
  <c r="R1782" i="3" s="1"/>
  <c r="O1783" i="3"/>
  <c r="R1783" i="3" s="1"/>
  <c r="O1796" i="3"/>
  <c r="O1795" i="3"/>
  <c r="F1912" i="3"/>
  <c r="J1912" i="3" s="1"/>
  <c r="R1912" i="3" s="1"/>
  <c r="G1909" i="3"/>
  <c r="D1909" i="3"/>
  <c r="I1909" i="3"/>
  <c r="F1909" i="3"/>
  <c r="G1910" i="3"/>
  <c r="D1910" i="3"/>
  <c r="I1910" i="3"/>
  <c r="F1910" i="3"/>
  <c r="G1911" i="3"/>
  <c r="D1911" i="3"/>
  <c r="I1911" i="3"/>
  <c r="F1911" i="3"/>
  <c r="H1912" i="3"/>
  <c r="E1912" i="3"/>
  <c r="O1921" i="3"/>
  <c r="R1921" i="3" s="1"/>
  <c r="R1924" i="3"/>
  <c r="K1920" i="3"/>
  <c r="O1920" i="3" s="1"/>
  <c r="R1920" i="3" s="1"/>
  <c r="R1046" i="3"/>
  <c r="K1048" i="3"/>
  <c r="R1048" i="3" s="1"/>
  <c r="R1053" i="3"/>
  <c r="R1041" i="3"/>
  <c r="K1036" i="3"/>
  <c r="R1036" i="3" s="1"/>
  <c r="K1038" i="3"/>
  <c r="R1038" i="3" s="1"/>
  <c r="R1808" i="3"/>
  <c r="R1807" i="3"/>
  <c r="K1608" i="3"/>
  <c r="R1608" i="3" s="1"/>
  <c r="K1609" i="3"/>
  <c r="R1609" i="3" s="1"/>
  <c r="K1611" i="3"/>
  <c r="R1611" i="3" s="1"/>
  <c r="K1612" i="3"/>
  <c r="R1612" i="3" s="1"/>
  <c r="H1765" i="3"/>
  <c r="H1612" i="3" s="1"/>
  <c r="E1765" i="3"/>
  <c r="E1612" i="3" s="1"/>
  <c r="K1589" i="3"/>
  <c r="N1589" i="3" s="1"/>
  <c r="R1589" i="3" s="1"/>
  <c r="K1590" i="3"/>
  <c r="N1590" i="3" s="1"/>
  <c r="R1590" i="3" s="1"/>
  <c r="N1591" i="3"/>
  <c r="R1591" i="3" s="1"/>
  <c r="K1592" i="3"/>
  <c r="N1592" i="3" s="1"/>
  <c r="R1592" i="3" s="1"/>
  <c r="N1593" i="3"/>
  <c r="R1593" i="3" s="1"/>
  <c r="K1594" i="3"/>
  <c r="N1594" i="3" s="1"/>
  <c r="R1594" i="3" s="1"/>
  <c r="K1595" i="3"/>
  <c r="N1595" i="3" s="1"/>
  <c r="R1595" i="3" s="1"/>
  <c r="N1596" i="3"/>
  <c r="R1596" i="3" s="1"/>
  <c r="N1597" i="3"/>
  <c r="R1597" i="3" s="1"/>
  <c r="R1598" i="3"/>
  <c r="K1599" i="3"/>
  <c r="N1599" i="3" s="1"/>
  <c r="R1599" i="3" s="1"/>
  <c r="K1600" i="3"/>
  <c r="O1600" i="3" s="1"/>
  <c r="R1600" i="3" s="1"/>
  <c r="K1242" i="3"/>
  <c r="N1242" i="3" s="1"/>
  <c r="R1242" i="3" s="1"/>
  <c r="N1533" i="3"/>
  <c r="R1533" i="3" s="1"/>
  <c r="N1534" i="3"/>
  <c r="R1534" i="3" s="1"/>
  <c r="N1535" i="3"/>
  <c r="R1535" i="3" s="1"/>
  <c r="N1536" i="3"/>
  <c r="R1536" i="3" s="1"/>
  <c r="N1537" i="3"/>
  <c r="R1537" i="3" s="1"/>
  <c r="N1538" i="3"/>
  <c r="R1538" i="3" s="1"/>
  <c r="R1540" i="3" s="1"/>
  <c r="N1541" i="3"/>
  <c r="R1541" i="3" s="1"/>
  <c r="N1542" i="3"/>
  <c r="R1542" i="3" s="1"/>
  <c r="N1544" i="3"/>
  <c r="R1544" i="3" s="1"/>
  <c r="N1553" i="3"/>
  <c r="N1552" i="3"/>
  <c r="N1551" i="3"/>
  <c r="R1416" i="3"/>
  <c r="K1417" i="3"/>
  <c r="R1417" i="3" s="1"/>
  <c r="R651" i="3"/>
  <c r="E520" i="3"/>
  <c r="E521" i="3"/>
  <c r="R1438" i="3"/>
  <c r="O1425" i="3"/>
  <c r="R1425" i="3" s="1"/>
  <c r="O1426" i="3"/>
  <c r="R1426" i="3" s="1"/>
  <c r="O1427" i="3"/>
  <c r="R1427" i="3" s="1"/>
  <c r="O1428" i="3"/>
  <c r="R1428" i="3" s="1"/>
  <c r="K1050" i="3"/>
  <c r="AD94" i="2"/>
  <c r="J1052" i="3" s="1"/>
  <c r="N1443" i="3"/>
  <c r="O1443" i="3" s="1"/>
  <c r="R1443" i="3" s="1"/>
  <c r="N1444" i="3"/>
  <c r="R1444" i="3" s="1"/>
  <c r="N1445" i="3"/>
  <c r="R1445" i="3" s="1"/>
  <c r="N1446" i="3"/>
  <c r="R1446" i="3" s="1"/>
  <c r="N1447" i="3"/>
  <c r="R1447" i="3" s="1"/>
  <c r="N1448" i="3"/>
  <c r="R1448" i="3" s="1"/>
  <c r="N1449" i="3"/>
  <c r="R1449" i="3" s="1"/>
  <c r="O1450" i="3"/>
  <c r="R1450" i="3" s="1"/>
  <c r="O1451" i="3"/>
  <c r="R1451" i="3" s="1"/>
  <c r="O1452" i="3"/>
  <c r="R1452" i="3" s="1"/>
  <c r="L1453" i="3"/>
  <c r="N1453" i="3" s="1"/>
  <c r="O1453" i="3" s="1"/>
  <c r="R1453" i="3" s="1"/>
  <c r="N1454" i="3"/>
  <c r="O1454" i="3" s="1"/>
  <c r="R1454" i="3" s="1"/>
  <c r="N1455" i="3"/>
  <c r="O1455" i="3" s="1"/>
  <c r="R1455" i="3" s="1"/>
  <c r="N1456" i="3"/>
  <c r="O1456" i="3" s="1"/>
  <c r="R1456" i="3" s="1"/>
  <c r="N1457" i="3"/>
  <c r="O1457" i="3" s="1"/>
  <c r="R1457" i="3" s="1"/>
  <c r="N1458" i="3"/>
  <c r="O1458" i="3" s="1"/>
  <c r="R1458" i="3" s="1"/>
  <c r="N1459" i="3"/>
  <c r="O1459" i="3" s="1"/>
  <c r="R1459" i="3" s="1"/>
  <c r="R1460" i="3"/>
  <c r="R420" i="3"/>
  <c r="R966" i="3" s="1"/>
  <c r="R969" i="3"/>
  <c r="R970" i="3"/>
  <c r="N971" i="3"/>
  <c r="O378" i="3" s="1"/>
  <c r="P971" i="3"/>
  <c r="R972" i="3"/>
  <c r="R973" i="3"/>
  <c r="R975" i="3"/>
  <c r="R977" i="3"/>
  <c r="K321" i="3"/>
  <c r="K322" i="3"/>
  <c r="K323" i="3"/>
  <c r="R323" i="3" s="1"/>
  <c r="O323" i="3" s="1"/>
  <c r="O888" i="3" s="1"/>
  <c r="R888" i="3" s="1"/>
  <c r="D1460" i="3"/>
  <c r="D808" i="3"/>
  <c r="D1458" i="3" s="1"/>
  <c r="R1350" i="3"/>
  <c r="R1351" i="3"/>
  <c r="R1352" i="3"/>
  <c r="R1353" i="3"/>
  <c r="R1354" i="3"/>
  <c r="R1355" i="3"/>
  <c r="R1356" i="3"/>
  <c r="R1357" i="3"/>
  <c r="R1358" i="3"/>
  <c r="R1359" i="3"/>
  <c r="R1360" i="3"/>
  <c r="R1361" i="3"/>
  <c r="R1362" i="3"/>
  <c r="R1363" i="3"/>
  <c r="R1365" i="3"/>
  <c r="N1460" i="3"/>
  <c r="V1182" i="3"/>
  <c r="V1178" i="3" s="1"/>
  <c r="F1182" i="3"/>
  <c r="K1182" i="3" s="1"/>
  <c r="R1182" i="3" s="1"/>
  <c r="H1182" i="3"/>
  <c r="E1182" i="3"/>
  <c r="F1118" i="3"/>
  <c r="K1118" i="3" s="1"/>
  <c r="N1118" i="3" s="1"/>
  <c r="R1118" i="3" s="1"/>
  <c r="H1118" i="3"/>
  <c r="E1118" i="3"/>
  <c r="O918" i="3"/>
  <c r="R918" i="3" s="1"/>
  <c r="R413" i="3"/>
  <c r="K363" i="3"/>
  <c r="O363" i="3" s="1"/>
  <c r="K364" i="3"/>
  <c r="O364" i="3" s="1"/>
  <c r="O403" i="3" s="1"/>
  <c r="R403" i="3" s="1"/>
  <c r="K365" i="3"/>
  <c r="O365" i="3" s="1"/>
  <c r="O404" i="3" s="1"/>
  <c r="R404" i="3" s="1"/>
  <c r="K366" i="3"/>
  <c r="O366" i="3" s="1"/>
  <c r="K367" i="3"/>
  <c r="O367" i="3" s="1"/>
  <c r="O406" i="3" s="1"/>
  <c r="R406" i="3" s="1"/>
  <c r="K368" i="3"/>
  <c r="O368" i="3" s="1"/>
  <c r="R368" i="3" s="1"/>
  <c r="O408" i="3" s="1"/>
  <c r="R408" i="3" s="1"/>
  <c r="O409" i="3"/>
  <c r="R409" i="3" s="1"/>
  <c r="K806" i="3"/>
  <c r="R806" i="3" s="1"/>
  <c r="D809" i="3"/>
  <c r="F446" i="3"/>
  <c r="F519" i="3" s="1"/>
  <c r="F809" i="3" s="1"/>
  <c r="N810" i="3"/>
  <c r="K780" i="3"/>
  <c r="R780" i="3" s="1"/>
  <c r="K781" i="3"/>
  <c r="R781" i="3" s="1"/>
  <c r="N782" i="3"/>
  <c r="K782" i="3"/>
  <c r="Q782" i="3" s="1"/>
  <c r="N783" i="3"/>
  <c r="K783" i="3"/>
  <c r="Q783" i="3" s="1"/>
  <c r="K784" i="3"/>
  <c r="R784" i="3" s="1"/>
  <c r="K785" i="3"/>
  <c r="R785" i="3" s="1"/>
  <c r="K786" i="3"/>
  <c r="R786" i="3" s="1"/>
  <c r="D787" i="3"/>
  <c r="F787" i="3"/>
  <c r="K788" i="3"/>
  <c r="R788" i="3" s="1"/>
  <c r="K789" i="3"/>
  <c r="R789" i="3" s="1"/>
  <c r="K790" i="3"/>
  <c r="R790" i="3" s="1"/>
  <c r="K791" i="3"/>
  <c r="R791" i="3" s="1"/>
  <c r="K792" i="3"/>
  <c r="R792" i="3" s="1"/>
  <c r="K794" i="3"/>
  <c r="R794" i="3" s="1"/>
  <c r="K795" i="3"/>
  <c r="R795" i="3" s="1"/>
  <c r="K796" i="3"/>
  <c r="R796" i="3" s="1"/>
  <c r="N797" i="3"/>
  <c r="R797" i="3" s="1"/>
  <c r="G798" i="3"/>
  <c r="G799" i="3" s="1"/>
  <c r="D798" i="3"/>
  <c r="D799" i="3" s="1"/>
  <c r="I798" i="3"/>
  <c r="I799" i="3" s="1"/>
  <c r="F798" i="3"/>
  <c r="F799" i="3" s="1"/>
  <c r="N799" i="3"/>
  <c r="R799" i="3" s="1"/>
  <c r="G800" i="3"/>
  <c r="D800" i="3"/>
  <c r="I800" i="3"/>
  <c r="F800" i="3"/>
  <c r="N801" i="3"/>
  <c r="R801" i="3" s="1"/>
  <c r="G802" i="3"/>
  <c r="D802" i="3"/>
  <c r="I802" i="3"/>
  <c r="F802" i="3"/>
  <c r="N803" i="3"/>
  <c r="R803" i="3" s="1"/>
  <c r="I804" i="3"/>
  <c r="K804" i="3" s="1"/>
  <c r="R804" i="3" s="1"/>
  <c r="N805" i="3"/>
  <c r="R805" i="3" s="1"/>
  <c r="N807" i="3"/>
  <c r="R807" i="3" s="1"/>
  <c r="F518" i="3"/>
  <c r="F808" i="3" s="1"/>
  <c r="K810" i="3"/>
  <c r="R810" i="3" s="1"/>
  <c r="D811" i="3"/>
  <c r="F811" i="3"/>
  <c r="N809" i="3"/>
  <c r="N811" i="3"/>
  <c r="N808" i="3"/>
  <c r="E446" i="3"/>
  <c r="E519" i="3" s="1"/>
  <c r="E518" i="3"/>
  <c r="K807" i="3"/>
  <c r="H806" i="3"/>
  <c r="K1317" i="3"/>
  <c r="Q1320" i="3" s="1"/>
  <c r="R1320" i="3" s="1"/>
  <c r="L1317" i="3"/>
  <c r="M1317" i="3"/>
  <c r="K1319" i="3"/>
  <c r="N1319" i="3" s="1"/>
  <c r="R1319" i="3" s="1"/>
  <c r="K1321" i="3"/>
  <c r="N1321" i="3" s="1"/>
  <c r="R1321" i="3" s="1"/>
  <c r="K1274" i="3"/>
  <c r="L1274" i="3"/>
  <c r="L1323" i="3" s="1"/>
  <c r="M1323" i="3"/>
  <c r="K1325" i="3"/>
  <c r="Q1325" i="3" s="1"/>
  <c r="R1325" i="3" s="1"/>
  <c r="D1327" i="3"/>
  <c r="F1327" i="3"/>
  <c r="K1328" i="3"/>
  <c r="Q1328" i="3" s="1"/>
  <c r="R1328" i="3" s="1"/>
  <c r="F1330" i="3"/>
  <c r="K1330" i="3" s="1"/>
  <c r="Q1330" i="3" s="1"/>
  <c r="R1330" i="3" s="1"/>
  <c r="K1331" i="3"/>
  <c r="Q1331" i="3" s="1"/>
  <c r="R1331" i="3" s="1"/>
  <c r="G1231" i="3"/>
  <c r="G1232" i="3" s="1"/>
  <c r="G1260" i="3" s="1"/>
  <c r="G1279" i="3" s="1"/>
  <c r="G1332" i="3" s="1"/>
  <c r="G1333" i="3" s="1"/>
  <c r="I1231" i="3"/>
  <c r="I1232" i="3" s="1"/>
  <c r="I1260" i="3" s="1"/>
  <c r="I1279" i="3" s="1"/>
  <c r="I1332" i="3" s="1"/>
  <c r="I1333" i="3" s="1"/>
  <c r="I1334" i="3" s="1"/>
  <c r="D1279" i="3"/>
  <c r="D1332" i="3" s="1"/>
  <c r="D1333" i="3" s="1"/>
  <c r="D1334" i="3" s="1"/>
  <c r="F1279" i="3"/>
  <c r="F1332" i="3" s="1"/>
  <c r="F1333" i="3" s="1"/>
  <c r="F1334" i="3" s="1"/>
  <c r="K682" i="3"/>
  <c r="L682" i="3"/>
  <c r="M682" i="3"/>
  <c r="K683" i="3"/>
  <c r="L683" i="3"/>
  <c r="M683" i="3"/>
  <c r="K684" i="3"/>
  <c r="N684" i="3" s="1"/>
  <c r="R684" i="3" s="1"/>
  <c r="K685" i="3"/>
  <c r="L685" i="3"/>
  <c r="M685" i="3"/>
  <c r="K686" i="3"/>
  <c r="L686" i="3"/>
  <c r="M686" i="3"/>
  <c r="K687" i="3"/>
  <c r="N687" i="3" s="1"/>
  <c r="R687" i="3" s="1"/>
  <c r="K690" i="3"/>
  <c r="N690" i="3" s="1"/>
  <c r="O690" i="3" s="1"/>
  <c r="R690" i="3" s="1"/>
  <c r="K691" i="3"/>
  <c r="L691" i="3" s="1"/>
  <c r="O691" i="3" s="1"/>
  <c r="R691" i="3" s="1"/>
  <c r="K692" i="3"/>
  <c r="O692" i="3" s="1"/>
  <c r="L692" i="3"/>
  <c r="K694" i="3"/>
  <c r="R694" i="3" s="1"/>
  <c r="K695" i="3"/>
  <c r="R695" i="3" s="1"/>
  <c r="N696" i="3"/>
  <c r="O696" i="3" s="1"/>
  <c r="P696" i="3"/>
  <c r="K699" i="3"/>
  <c r="Q699" i="3" s="1"/>
  <c r="R699" i="3" s="1"/>
  <c r="K700" i="3"/>
  <c r="Q700" i="3" s="1"/>
  <c r="R700" i="3" s="1"/>
  <c r="K701" i="3"/>
  <c r="O701" i="3"/>
  <c r="K702" i="3"/>
  <c r="R702" i="3" s="1"/>
  <c r="N703" i="3"/>
  <c r="O703" i="3" s="1"/>
  <c r="R703" i="3" s="1"/>
  <c r="K704" i="3"/>
  <c r="O704" i="3"/>
  <c r="K705" i="3"/>
  <c r="R705" i="3" s="1"/>
  <c r="N706" i="3"/>
  <c r="O706" i="3" s="1"/>
  <c r="R706" i="3" s="1"/>
  <c r="K707" i="3"/>
  <c r="O707" i="3"/>
  <c r="K708" i="3"/>
  <c r="R708" i="3" s="1"/>
  <c r="N709" i="3"/>
  <c r="O709" i="3" s="1"/>
  <c r="R709" i="3" s="1"/>
  <c r="K710" i="3"/>
  <c r="Q710" i="3" s="1"/>
  <c r="R710" i="3" s="1"/>
  <c r="D711" i="3"/>
  <c r="D712" i="3" s="1"/>
  <c r="F711" i="3"/>
  <c r="F712" i="3" s="1"/>
  <c r="K713" i="3"/>
  <c r="Q713" i="3" s="1"/>
  <c r="R713" i="3" s="1"/>
  <c r="K714" i="3"/>
  <c r="Q714" i="3" s="1"/>
  <c r="R714" i="3" s="1"/>
  <c r="F715" i="3"/>
  <c r="K715" i="3" s="1"/>
  <c r="Q715" i="3" s="1"/>
  <c r="R715" i="3" s="1"/>
  <c r="V714" i="3"/>
  <c r="R433" i="3"/>
  <c r="R434" i="3"/>
  <c r="O821" i="3"/>
  <c r="R821" i="3" s="1"/>
  <c r="O963" i="3" s="1"/>
  <c r="K874" i="3"/>
  <c r="O874" i="3" s="1"/>
  <c r="R874" i="3" s="1"/>
  <c r="K824" i="3"/>
  <c r="O824" i="3" s="1"/>
  <c r="R824" i="3" s="1"/>
  <c r="O876" i="3" s="1"/>
  <c r="R876" i="3" s="1"/>
  <c r="K878" i="3"/>
  <c r="O878" i="3" s="1"/>
  <c r="R878" i="3" s="1"/>
  <c r="O879" i="3"/>
  <c r="R879" i="3" s="1"/>
  <c r="O880" i="3"/>
  <c r="R880" i="3" s="1"/>
  <c r="O881" i="3"/>
  <c r="R881" i="3" s="1"/>
  <c r="O882" i="3"/>
  <c r="R882" i="3" s="1"/>
  <c r="O883" i="3"/>
  <c r="R883" i="3" s="1"/>
  <c r="K319" i="3"/>
  <c r="R319" i="3" s="1"/>
  <c r="O319" i="3" s="1"/>
  <c r="O884" i="3" s="1"/>
  <c r="R884" i="3" s="1"/>
  <c r="K320" i="3"/>
  <c r="R320" i="3" s="1"/>
  <c r="O320" i="3" s="1"/>
  <c r="O885" i="3" s="1"/>
  <c r="R885" i="3" s="1"/>
  <c r="D888" i="3"/>
  <c r="E888" i="3"/>
  <c r="F888" i="3"/>
  <c r="G888" i="3"/>
  <c r="H888" i="3"/>
  <c r="I888" i="3"/>
  <c r="S878" i="3"/>
  <c r="S879" i="3" s="1"/>
  <c r="S880" i="3" s="1"/>
  <c r="S881" i="3" s="1"/>
  <c r="S882" i="3" s="1"/>
  <c r="S883" i="3" s="1"/>
  <c r="S884" i="3" s="1"/>
  <c r="S885" i="3" s="1"/>
  <c r="S886" i="3" s="1"/>
  <c r="S887" i="3" s="1"/>
  <c r="S888" i="3" s="1"/>
  <c r="D887" i="3"/>
  <c r="E887" i="3"/>
  <c r="F887" i="3"/>
  <c r="G887" i="3"/>
  <c r="H887" i="3"/>
  <c r="I887" i="3"/>
  <c r="D886" i="3"/>
  <c r="E886" i="3"/>
  <c r="F886" i="3"/>
  <c r="G886" i="3"/>
  <c r="H886" i="3"/>
  <c r="I886" i="3"/>
  <c r="K656" i="3"/>
  <c r="O656" i="3" s="1"/>
  <c r="R656" i="3" s="1"/>
  <c r="K657" i="3"/>
  <c r="O657" i="3" s="1"/>
  <c r="R657" i="3" s="1"/>
  <c r="K658" i="3"/>
  <c r="O658" i="3" s="1"/>
  <c r="R658" i="3" s="1"/>
  <c r="D625" i="3"/>
  <c r="F625" i="3"/>
  <c r="F637" i="3" s="1"/>
  <c r="L638" i="3"/>
  <c r="O638" i="3" s="1"/>
  <c r="R638" i="3" s="1"/>
  <c r="L639" i="3"/>
  <c r="O639" i="3" s="1"/>
  <c r="R639" i="3" s="1"/>
  <c r="K640" i="3"/>
  <c r="O640" i="3" s="1"/>
  <c r="R640" i="3" s="1"/>
  <c r="K660" i="3"/>
  <c r="O660" i="3" s="1"/>
  <c r="R660" i="3" s="1"/>
  <c r="N661" i="3"/>
  <c r="O661" i="3" s="1"/>
  <c r="R661" i="3" s="1"/>
  <c r="O662" i="3"/>
  <c r="R662" i="3" s="1"/>
  <c r="N663" i="3"/>
  <c r="O663" i="3" s="1"/>
  <c r="R663" i="3" s="1"/>
  <c r="K664" i="3"/>
  <c r="O664" i="3" s="1"/>
  <c r="R664" i="3" s="1"/>
  <c r="K665" i="3"/>
  <c r="O665" i="3" s="1"/>
  <c r="R665" i="3" s="1"/>
  <c r="R677" i="3"/>
  <c r="R676" i="3"/>
  <c r="K634" i="3"/>
  <c r="O634" i="3" s="1"/>
  <c r="R634" i="3" s="1"/>
  <c r="K635" i="3"/>
  <c r="O635" i="3" s="1"/>
  <c r="R635" i="3" s="1"/>
  <c r="K636" i="3"/>
  <c r="O636" i="3" s="1"/>
  <c r="R636" i="3" s="1"/>
  <c r="K641" i="3"/>
  <c r="O641" i="3" s="1"/>
  <c r="R641" i="3" s="1"/>
  <c r="K642" i="3"/>
  <c r="O642" i="3" s="1"/>
  <c r="R642" i="3" s="1"/>
  <c r="N643" i="3"/>
  <c r="O643" i="3" s="1"/>
  <c r="R643" i="3" s="1"/>
  <c r="O644" i="3"/>
  <c r="R644" i="3" s="1"/>
  <c r="N645" i="3"/>
  <c r="O645" i="3" s="1"/>
  <c r="R645" i="3" s="1"/>
  <c r="O646" i="3"/>
  <c r="R646" i="3" s="1"/>
  <c r="K647" i="3"/>
  <c r="O647" i="3" s="1"/>
  <c r="R647" i="3" s="1"/>
  <c r="K648" i="3"/>
  <c r="O648" i="3" s="1"/>
  <c r="R648" i="3" s="1"/>
  <c r="K502" i="3"/>
  <c r="R502" i="3" s="1"/>
  <c r="K503" i="3"/>
  <c r="R503" i="3" s="1"/>
  <c r="K504" i="3"/>
  <c r="R504" i="3" s="1"/>
  <c r="K505" i="3"/>
  <c r="R505" i="3" s="1"/>
  <c r="K506" i="3"/>
  <c r="R506" i="3" s="1"/>
  <c r="K507" i="3"/>
  <c r="P507" i="3"/>
  <c r="K508" i="3"/>
  <c r="P508" i="3"/>
  <c r="K509" i="3"/>
  <c r="P509" i="3"/>
  <c r="K510" i="3"/>
  <c r="P510" i="3"/>
  <c r="K511" i="3"/>
  <c r="P511" i="3"/>
  <c r="K512" i="3"/>
  <c r="P512" i="3"/>
  <c r="G442" i="3"/>
  <c r="G514" i="3" s="1"/>
  <c r="D442" i="3"/>
  <c r="D514" i="3" s="1"/>
  <c r="I442" i="3"/>
  <c r="I514" i="3" s="1"/>
  <c r="F442" i="3"/>
  <c r="F514" i="3" s="1"/>
  <c r="P514" i="3"/>
  <c r="G443" i="3"/>
  <c r="G515" i="3" s="1"/>
  <c r="D443" i="3"/>
  <c r="D515" i="3" s="1"/>
  <c r="I443" i="3"/>
  <c r="I515" i="3" s="1"/>
  <c r="F443" i="3"/>
  <c r="F515" i="3" s="1"/>
  <c r="P515" i="3"/>
  <c r="G444" i="3"/>
  <c r="G516" i="3" s="1"/>
  <c r="D444" i="3"/>
  <c r="D516" i="3" s="1"/>
  <c r="I444" i="3"/>
  <c r="I516" i="3" s="1"/>
  <c r="F444" i="3"/>
  <c r="F516" i="3" s="1"/>
  <c r="P516" i="3"/>
  <c r="F517" i="3"/>
  <c r="K517" i="3" s="1"/>
  <c r="P517" i="3"/>
  <c r="P518" i="3"/>
  <c r="P519" i="3"/>
  <c r="K520" i="3"/>
  <c r="P520" i="3"/>
  <c r="K521" i="3"/>
  <c r="P521" i="3"/>
  <c r="R536" i="3"/>
  <c r="K532" i="3"/>
  <c r="R532" i="3" s="1"/>
  <c r="R535" i="3" s="1"/>
  <c r="H446" i="3"/>
  <c r="K441" i="3"/>
  <c r="R441" i="3" s="1"/>
  <c r="K445" i="3"/>
  <c r="R445" i="3" s="1"/>
  <c r="R448" i="3"/>
  <c r="U442" i="3"/>
  <c r="U443" i="3" s="1"/>
  <c r="U444" i="3" s="1"/>
  <c r="U445" i="3" s="1"/>
  <c r="U446" i="3" s="1"/>
  <c r="Q378" i="3"/>
  <c r="O379" i="3"/>
  <c r="Q379" i="3"/>
  <c r="O380" i="3"/>
  <c r="Q380" i="3"/>
  <c r="O381" i="3"/>
  <c r="Q381" i="3"/>
  <c r="O382" i="3"/>
  <c r="Q382" i="3"/>
  <c r="O383" i="3"/>
  <c r="Q383" i="3"/>
  <c r="K354" i="3"/>
  <c r="O354" i="3" s="1"/>
  <c r="R354" i="3" s="1"/>
  <c r="D345" i="3"/>
  <c r="F345" i="3"/>
  <c r="R346" i="3"/>
  <c r="K347" i="3"/>
  <c r="O347" i="3" s="1"/>
  <c r="R347" i="3" s="1"/>
  <c r="O348" i="3"/>
  <c r="R348" i="3" s="1"/>
  <c r="K349" i="3"/>
  <c r="O349" i="3" s="1"/>
  <c r="R349" i="3" s="1"/>
  <c r="G350" i="3"/>
  <c r="D350" i="3"/>
  <c r="I350" i="3"/>
  <c r="F350" i="3"/>
  <c r="K351" i="3"/>
  <c r="O351" i="3" s="1"/>
  <c r="R351" i="3" s="1"/>
  <c r="K352" i="3"/>
  <c r="O352" i="3" s="1"/>
  <c r="R352" i="3" s="1"/>
  <c r="O353" i="3"/>
  <c r="R353" i="3" s="1"/>
  <c r="K355" i="3"/>
  <c r="O355" i="3" s="1"/>
  <c r="R355" i="3" s="1"/>
  <c r="R371" i="3"/>
  <c r="R315" i="3"/>
  <c r="R316" i="3"/>
  <c r="R317" i="3"/>
  <c r="K318" i="3"/>
  <c r="R318" i="3" s="1"/>
  <c r="R94" i="3"/>
  <c r="R1173" i="3"/>
  <c r="D1166" i="3"/>
  <c r="K1166" i="3" s="1"/>
  <c r="R1166" i="3" s="1"/>
  <c r="K1167" i="3"/>
  <c r="R1167" i="3" s="1"/>
  <c r="K1168" i="3"/>
  <c r="R1168" i="3" s="1"/>
  <c r="K1169" i="3"/>
  <c r="R1169" i="3" s="1"/>
  <c r="K1170" i="3"/>
  <c r="R1170" i="3" s="1"/>
  <c r="J178" i="3"/>
  <c r="R178" i="3" s="1"/>
  <c r="R187" i="3"/>
  <c r="J192" i="3"/>
  <c r="R192" i="3" s="1"/>
  <c r="R199" i="3"/>
  <c r="J139" i="3"/>
  <c r="R139" i="3" s="1"/>
  <c r="R147" i="3"/>
  <c r="R95" i="3"/>
  <c r="R134" i="3"/>
  <c r="J100" i="3"/>
  <c r="R100" i="3" s="1"/>
  <c r="R108" i="3"/>
  <c r="R173" i="3"/>
  <c r="R229" i="3"/>
  <c r="R268" i="3"/>
  <c r="J234" i="3"/>
  <c r="R234" i="3" s="1"/>
  <c r="R242" i="3"/>
  <c r="R307" i="3"/>
  <c r="J273" i="3"/>
  <c r="R273" i="3" s="1"/>
  <c r="R281" i="3"/>
  <c r="I45" i="2"/>
  <c r="R458" i="3"/>
  <c r="R457" i="3"/>
  <c r="R468" i="3"/>
  <c r="R467" i="3"/>
  <c r="R478" i="3"/>
  <c r="R477" i="3"/>
  <c r="R494" i="3"/>
  <c r="R493" i="3"/>
  <c r="R523" i="3"/>
  <c r="I51" i="2"/>
  <c r="R606" i="3"/>
  <c r="K592" i="3"/>
  <c r="R592" i="3" s="1"/>
  <c r="K593" i="3"/>
  <c r="R593" i="3" s="1"/>
  <c r="D594" i="3"/>
  <c r="F594" i="3"/>
  <c r="D595" i="3"/>
  <c r="F595" i="3"/>
  <c r="D596" i="3"/>
  <c r="F596" i="3"/>
  <c r="D597" i="3"/>
  <c r="F597" i="3"/>
  <c r="D598" i="3"/>
  <c r="F598" i="3"/>
  <c r="D599" i="3"/>
  <c r="F599" i="3"/>
  <c r="R600" i="3"/>
  <c r="D601" i="3"/>
  <c r="F601" i="3"/>
  <c r="K602" i="3"/>
  <c r="R602" i="3" s="1"/>
  <c r="D603" i="3"/>
  <c r="F603" i="3"/>
  <c r="R617" i="3"/>
  <c r="K611" i="3"/>
  <c r="R611" i="3" s="1"/>
  <c r="K612" i="3"/>
  <c r="R612" i="3" s="1"/>
  <c r="K613" i="3"/>
  <c r="R613" i="3" s="1"/>
  <c r="K614" i="3"/>
  <c r="R614" i="3" s="1"/>
  <c r="R629" i="3"/>
  <c r="K622" i="3"/>
  <c r="O622" i="3" s="1"/>
  <c r="R622" i="3" s="1"/>
  <c r="K623" i="3"/>
  <c r="O623" i="3" s="1"/>
  <c r="R623" i="3" s="1"/>
  <c r="K624" i="3"/>
  <c r="O624" i="3" s="1"/>
  <c r="R624" i="3" s="1"/>
  <c r="I63" i="2"/>
  <c r="R667" i="3"/>
  <c r="I64" i="2"/>
  <c r="I65" i="2"/>
  <c r="AD116" i="2"/>
  <c r="J1344" i="3" s="1"/>
  <c r="R1339" i="3" s="1"/>
  <c r="R718" i="3"/>
  <c r="I66" i="2"/>
  <c r="R742" i="3"/>
  <c r="K723" i="3"/>
  <c r="O723" i="3" s="1"/>
  <c r="R723" i="3" s="1"/>
  <c r="D724" i="3"/>
  <c r="F724" i="3"/>
  <c r="D725" i="3"/>
  <c r="F725" i="3"/>
  <c r="D726" i="3"/>
  <c r="F726" i="3"/>
  <c r="D727" i="3"/>
  <c r="F727" i="3"/>
  <c r="D728" i="3"/>
  <c r="F728" i="3"/>
  <c r="K729" i="3"/>
  <c r="O729" i="3" s="1"/>
  <c r="R729" i="3" s="1"/>
  <c r="D730" i="3"/>
  <c r="F730" i="3"/>
  <c r="K731" i="3"/>
  <c r="O731" i="3" s="1"/>
  <c r="R731" i="3" s="1"/>
  <c r="K732" i="3"/>
  <c r="O732" i="3" s="1"/>
  <c r="R732" i="3" s="1"/>
  <c r="D733" i="3"/>
  <c r="F733" i="3"/>
  <c r="L733" i="3"/>
  <c r="M733" i="3"/>
  <c r="D734" i="3"/>
  <c r="F734" i="3"/>
  <c r="K735" i="3"/>
  <c r="O735" i="3" s="1"/>
  <c r="R735" i="3" s="1"/>
  <c r="L736" i="3"/>
  <c r="O736" i="3" s="1"/>
  <c r="R736" i="3" s="1"/>
  <c r="K737" i="3"/>
  <c r="O737" i="3" s="1"/>
  <c r="R737" i="3" s="1"/>
  <c r="K738" i="3"/>
  <c r="O738" i="3" s="1"/>
  <c r="R738" i="3" s="1"/>
  <c r="K739" i="3"/>
  <c r="O739" i="3" s="1"/>
  <c r="R739" i="3" s="1"/>
  <c r="I67" i="2"/>
  <c r="R765" i="3"/>
  <c r="R747" i="3"/>
  <c r="R748" i="3"/>
  <c r="R749" i="3"/>
  <c r="R750" i="3"/>
  <c r="R751" i="3"/>
  <c r="R753" i="3"/>
  <c r="R760" i="3"/>
  <c r="I68" i="2"/>
  <c r="R775" i="3"/>
  <c r="R774" i="3"/>
  <c r="I69" i="2"/>
  <c r="R814" i="3"/>
  <c r="I70" i="2"/>
  <c r="R830" i="3"/>
  <c r="K822" i="3"/>
  <c r="O822" i="3" s="1"/>
  <c r="R822" i="3" s="1"/>
  <c r="K825" i="3"/>
  <c r="O825" i="3" s="1"/>
  <c r="R825" i="3" s="1"/>
  <c r="O826" i="3"/>
  <c r="R826" i="3" s="1"/>
  <c r="R827" i="3"/>
  <c r="R839" i="3"/>
  <c r="K835" i="3"/>
  <c r="L835" i="3"/>
  <c r="R858" i="3"/>
  <c r="K844" i="3"/>
  <c r="O844" i="3" s="1"/>
  <c r="R844" i="3" s="1"/>
  <c r="K845" i="3"/>
  <c r="O845" i="3" s="1"/>
  <c r="R845" i="3" s="1"/>
  <c r="K846" i="3"/>
  <c r="L846" i="3"/>
  <c r="K847" i="3"/>
  <c r="L847" i="3"/>
  <c r="K848" i="3"/>
  <c r="L848" i="3"/>
  <c r="K850" i="3"/>
  <c r="O850" i="3" s="1"/>
  <c r="R850" i="3" s="1"/>
  <c r="O851" i="3"/>
  <c r="R851" i="3" s="1"/>
  <c r="G853" i="3"/>
  <c r="D853" i="3"/>
  <c r="I853" i="3"/>
  <c r="F853" i="3"/>
  <c r="G854" i="3"/>
  <c r="D854" i="3"/>
  <c r="I854" i="3"/>
  <c r="F854" i="3"/>
  <c r="G855" i="3"/>
  <c r="D855" i="3"/>
  <c r="I855" i="3"/>
  <c r="F855" i="3"/>
  <c r="D856" i="3"/>
  <c r="F856" i="3"/>
  <c r="I76" i="2"/>
  <c r="R868" i="3"/>
  <c r="K863" i="3"/>
  <c r="L863" i="3"/>
  <c r="K864" i="3"/>
  <c r="O864" i="3" s="1"/>
  <c r="R864" i="3" s="1"/>
  <c r="O897" i="3" s="1"/>
  <c r="R897" i="3" s="1"/>
  <c r="I77" i="2"/>
  <c r="R891" i="3"/>
  <c r="I78" i="2"/>
  <c r="R901" i="3"/>
  <c r="I79" i="2"/>
  <c r="R910" i="3"/>
  <c r="R909" i="3"/>
  <c r="I80" i="2"/>
  <c r="R922" i="3"/>
  <c r="K915" i="3"/>
  <c r="L915" i="3"/>
  <c r="K916" i="3"/>
  <c r="O916" i="3" s="1"/>
  <c r="R916" i="3" s="1"/>
  <c r="K917" i="3"/>
  <c r="O917" i="3" s="1"/>
  <c r="R917" i="3" s="1"/>
  <c r="I81" i="2"/>
  <c r="R932" i="3"/>
  <c r="R931" i="3"/>
  <c r="I82" i="2"/>
  <c r="R941" i="3"/>
  <c r="R940" i="3"/>
  <c r="I83" i="2"/>
  <c r="R951" i="3"/>
  <c r="I84" i="2"/>
  <c r="R980" i="3"/>
  <c r="I85" i="2"/>
  <c r="R991" i="3"/>
  <c r="R990" i="3"/>
  <c r="R1001" i="3"/>
  <c r="R996" i="3"/>
  <c r="R997" i="3"/>
  <c r="R998" i="3"/>
  <c r="R1011" i="3"/>
  <c r="R1010" i="3"/>
  <c r="R1021" i="3"/>
  <c r="R1020" i="3"/>
  <c r="R1031" i="3"/>
  <c r="R1030" i="3"/>
  <c r="I94" i="2"/>
  <c r="R1063" i="3"/>
  <c r="R1062" i="3"/>
  <c r="R1073" i="3"/>
  <c r="R1072" i="3"/>
  <c r="R1083" i="3"/>
  <c r="R1082" i="3"/>
  <c r="R1093" i="3"/>
  <c r="R1092" i="3"/>
  <c r="R1120" i="3"/>
  <c r="K1110" i="3"/>
  <c r="N1110" i="3" s="1"/>
  <c r="R1110" i="3" s="1"/>
  <c r="K1111" i="3"/>
  <c r="N1111" i="3" s="1"/>
  <c r="R1111" i="3" s="1"/>
  <c r="D1112" i="3"/>
  <c r="F1112" i="3"/>
  <c r="D1113" i="3"/>
  <c r="F1113" i="3"/>
  <c r="D1115" i="3"/>
  <c r="G1115" i="3"/>
  <c r="I1115" i="3"/>
  <c r="F1115" i="3"/>
  <c r="D1116" i="3"/>
  <c r="G1116" i="3"/>
  <c r="I1116" i="3"/>
  <c r="F1116" i="3"/>
  <c r="D1117" i="3"/>
  <c r="G1117" i="3"/>
  <c r="I1117" i="3"/>
  <c r="F1117" i="3"/>
  <c r="I101" i="2"/>
  <c r="R1105" i="3"/>
  <c r="R1099" i="3"/>
  <c r="R1100" i="3"/>
  <c r="R1101" i="3"/>
  <c r="R1102" i="3"/>
  <c r="I100" i="2"/>
  <c r="R1150" i="3"/>
  <c r="K1145" i="3"/>
  <c r="N1145" i="3" s="1"/>
  <c r="R1145" i="3" s="1"/>
  <c r="K1146" i="3"/>
  <c r="N1146" i="3" s="1"/>
  <c r="R1146" i="3" s="1"/>
  <c r="K1147" i="3"/>
  <c r="N1147" i="3" s="1"/>
  <c r="R1147" i="3" s="1"/>
  <c r="I104" i="2"/>
  <c r="R1160" i="3"/>
  <c r="R1159" i="3"/>
  <c r="I105" i="2"/>
  <c r="R1130" i="3"/>
  <c r="R1129" i="3"/>
  <c r="I102" i="2"/>
  <c r="R1140" i="3"/>
  <c r="R1139" i="3"/>
  <c r="I103" i="2"/>
  <c r="R1185" i="3"/>
  <c r="G1179" i="3"/>
  <c r="I1179" i="3"/>
  <c r="D1179" i="3"/>
  <c r="F1179" i="3"/>
  <c r="G1180" i="3"/>
  <c r="I1180" i="3"/>
  <c r="D1180" i="3"/>
  <c r="F1180" i="3"/>
  <c r="G1181" i="3"/>
  <c r="I1181" i="3"/>
  <c r="D1181" i="3"/>
  <c r="F1181" i="3"/>
  <c r="I108" i="2"/>
  <c r="R1369" i="3"/>
  <c r="I117" i="2"/>
  <c r="I107" i="2"/>
  <c r="R1312" i="3"/>
  <c r="G1307" i="3"/>
  <c r="D1307" i="3"/>
  <c r="I1307" i="3"/>
  <c r="F1307" i="3"/>
  <c r="G1308" i="3"/>
  <c r="D1308" i="3"/>
  <c r="I1308" i="3"/>
  <c r="F1308" i="3"/>
  <c r="D1309" i="3"/>
  <c r="F1309" i="3"/>
  <c r="I115" i="2"/>
  <c r="AB116" i="2"/>
  <c r="AG116" i="2" s="1"/>
  <c r="AH116" i="2" s="1"/>
  <c r="I116" i="2"/>
  <c r="R1301" i="3"/>
  <c r="K1288" i="3"/>
  <c r="N1288" i="3" s="1"/>
  <c r="R1288" i="3" s="1"/>
  <c r="K1289" i="3"/>
  <c r="N1289" i="3" s="1"/>
  <c r="R1289" i="3" s="1"/>
  <c r="K1290" i="3"/>
  <c r="N1290" i="3" s="1"/>
  <c r="R1290" i="3" s="1"/>
  <c r="K1291" i="3"/>
  <c r="N1291" i="3" s="1"/>
  <c r="R1291" i="3" s="1"/>
  <c r="K1292" i="3"/>
  <c r="N1292" i="3" s="1"/>
  <c r="R1292" i="3" s="1"/>
  <c r="K1293" i="3"/>
  <c r="N1293" i="3" s="1"/>
  <c r="R1293" i="3" s="1"/>
  <c r="K1294" i="3"/>
  <c r="Q1294" i="3" s="1"/>
  <c r="R1294" i="3" s="1"/>
  <c r="K1295" i="3"/>
  <c r="Q1295" i="3" s="1"/>
  <c r="R1295" i="3" s="1"/>
  <c r="K1296" i="3"/>
  <c r="Q1296" i="3" s="1"/>
  <c r="R1296" i="3" s="1"/>
  <c r="K1297" i="3"/>
  <c r="Q1297" i="3" s="1"/>
  <c r="R1297" i="3" s="1"/>
  <c r="K1298" i="3"/>
  <c r="Q1298" i="3" s="1"/>
  <c r="R1298" i="3" s="1"/>
  <c r="K1299" i="3"/>
  <c r="Q1299" i="3" s="1"/>
  <c r="R1299" i="3" s="1"/>
  <c r="I114" i="2"/>
  <c r="R1283" i="3"/>
  <c r="K1271" i="3"/>
  <c r="O1271" i="3" s="1"/>
  <c r="R1271" i="3" s="1"/>
  <c r="N1272" i="3"/>
  <c r="Q1272" i="3"/>
  <c r="N1273" i="3"/>
  <c r="Q1273" i="3"/>
  <c r="K1275" i="3"/>
  <c r="O1275" i="3" s="1"/>
  <c r="R1275" i="3" s="1"/>
  <c r="K1276" i="3"/>
  <c r="O1276" i="3" s="1"/>
  <c r="R1276" i="3" s="1"/>
  <c r="K1277" i="3"/>
  <c r="O1277" i="3" s="1"/>
  <c r="R1277" i="3" s="1"/>
  <c r="K1278" i="3"/>
  <c r="O1278" i="3" s="1"/>
  <c r="R1278" i="3" s="1"/>
  <c r="K1280" i="3"/>
  <c r="O1280" i="3" s="1"/>
  <c r="R1280" i="3" s="1"/>
  <c r="K1281" i="3"/>
  <c r="O1281" i="3" s="1"/>
  <c r="R1281" i="3" s="1"/>
  <c r="I113" i="2"/>
  <c r="R1266" i="3"/>
  <c r="K1252" i="3"/>
  <c r="O1252" i="3" s="1"/>
  <c r="R1252" i="3" s="1"/>
  <c r="N1253" i="3"/>
  <c r="Q1253" i="3"/>
  <c r="N1254" i="3"/>
  <c r="Q1254" i="3"/>
  <c r="K1255" i="3"/>
  <c r="L1255" i="3"/>
  <c r="K1256" i="3"/>
  <c r="O1256" i="3" s="1"/>
  <c r="R1256" i="3" s="1"/>
  <c r="K1257" i="3"/>
  <c r="O1257" i="3" s="1"/>
  <c r="R1257" i="3" s="1"/>
  <c r="K1258" i="3"/>
  <c r="O1258" i="3" s="1"/>
  <c r="R1258" i="3" s="1"/>
  <c r="K1259" i="3"/>
  <c r="O1259" i="3" s="1"/>
  <c r="R1259" i="3" s="1"/>
  <c r="D1260" i="3"/>
  <c r="F1260" i="3"/>
  <c r="K1261" i="3"/>
  <c r="O1261" i="3" s="1"/>
  <c r="R1261" i="3" s="1"/>
  <c r="N1262" i="3"/>
  <c r="R1262" i="3" s="1"/>
  <c r="K1263" i="3"/>
  <c r="O1263" i="3" s="1"/>
  <c r="R1263" i="3" s="1"/>
  <c r="I112" i="2"/>
  <c r="R1247" i="3"/>
  <c r="K1218" i="3"/>
  <c r="N1218" i="3" s="1"/>
  <c r="R1218" i="3" s="1"/>
  <c r="N1219" i="3"/>
  <c r="R1219" i="3" s="1"/>
  <c r="N1220" i="3"/>
  <c r="R1220" i="3" s="1"/>
  <c r="K1223" i="3"/>
  <c r="N1223" i="3" s="1"/>
  <c r="R1223" i="3" s="1"/>
  <c r="K1224" i="3"/>
  <c r="L1224" i="3"/>
  <c r="G1225" i="3"/>
  <c r="I1225" i="3"/>
  <c r="D1225" i="3"/>
  <c r="F1225" i="3"/>
  <c r="N1226" i="3"/>
  <c r="K1227" i="3"/>
  <c r="N1227" i="3" s="1"/>
  <c r="R1227" i="3" s="1"/>
  <c r="N1228" i="3"/>
  <c r="K1229" i="3"/>
  <c r="N1229" i="3" s="1"/>
  <c r="R1229" i="3" s="1"/>
  <c r="K1230" i="3"/>
  <c r="N1230" i="3" s="1"/>
  <c r="R1230" i="3" s="1"/>
  <c r="D1231" i="3"/>
  <c r="F1231" i="3"/>
  <c r="N1232" i="3"/>
  <c r="R1232" i="3" s="1"/>
  <c r="K1233" i="3"/>
  <c r="N1233" i="3" s="1"/>
  <c r="R1233" i="3" s="1"/>
  <c r="N1234" i="3"/>
  <c r="K1234" i="3"/>
  <c r="Q1234" i="3" s="1"/>
  <c r="K1235" i="3"/>
  <c r="R1235" i="3" s="1"/>
  <c r="R1236" i="3"/>
  <c r="K1237" i="3"/>
  <c r="R1237" i="3" s="1"/>
  <c r="N1238" i="3"/>
  <c r="R1238" i="3" s="1"/>
  <c r="K1239" i="3"/>
  <c r="M1239" i="3" s="1"/>
  <c r="R1239" i="3" s="1"/>
  <c r="N1240" i="3"/>
  <c r="R1240" i="3" s="1"/>
  <c r="K1241" i="3"/>
  <c r="N1241" i="3" s="1"/>
  <c r="R1241" i="3" s="1"/>
  <c r="I111" i="2"/>
  <c r="R1198" i="3"/>
  <c r="R1197" i="3"/>
  <c r="I109" i="2"/>
  <c r="R1212" i="3"/>
  <c r="K1203" i="3"/>
  <c r="O1203" i="3" s="1"/>
  <c r="R1203" i="3" s="1"/>
  <c r="D1204" i="3"/>
  <c r="F1204" i="3"/>
  <c r="L1204" i="3"/>
  <c r="D1205" i="3"/>
  <c r="F1205" i="3"/>
  <c r="L1205" i="3"/>
  <c r="K1206" i="3"/>
  <c r="L1206" i="3"/>
  <c r="D1207" i="3"/>
  <c r="F1207" i="3"/>
  <c r="L1207" i="3"/>
  <c r="K1208" i="3"/>
  <c r="L1208" i="3"/>
  <c r="I110" i="2"/>
  <c r="R1410" i="3"/>
  <c r="R1405" i="3"/>
  <c r="R1406" i="3"/>
  <c r="R1407" i="3"/>
  <c r="I120" i="2"/>
  <c r="R1400" i="3"/>
  <c r="K1384" i="3"/>
  <c r="R1384" i="3" s="1"/>
  <c r="K1385" i="3"/>
  <c r="R1385" i="3" s="1"/>
  <c r="K1386" i="3"/>
  <c r="R1386" i="3" s="1"/>
  <c r="N1387" i="3"/>
  <c r="K1387" i="3"/>
  <c r="Q1387" i="3" s="1"/>
  <c r="N1388" i="3"/>
  <c r="R1388" i="3" s="1"/>
  <c r="K1389" i="3"/>
  <c r="R1389" i="3" s="1"/>
  <c r="N1390" i="3"/>
  <c r="R1390" i="3" s="1"/>
  <c r="G1390" i="3"/>
  <c r="D1391" i="3" s="1"/>
  <c r="I1390" i="3"/>
  <c r="F1391" i="3" s="1"/>
  <c r="N1392" i="3"/>
  <c r="R1392" i="3" s="1"/>
  <c r="D1393" i="3"/>
  <c r="F1393" i="3"/>
  <c r="K1394" i="3"/>
  <c r="Q1394" i="3" s="1"/>
  <c r="N1394" i="3"/>
  <c r="D1395" i="3"/>
  <c r="F1395" i="3"/>
  <c r="D1396" i="3"/>
  <c r="F1396" i="3"/>
  <c r="N1396" i="3"/>
  <c r="I119" i="2"/>
  <c r="R1379" i="3"/>
  <c r="R1378" i="3"/>
  <c r="I118" i="2"/>
  <c r="R336" i="3"/>
  <c r="R335" i="3"/>
  <c r="R358" i="3"/>
  <c r="R386" i="3"/>
  <c r="R397" i="3"/>
  <c r="R392" i="3"/>
  <c r="R396" i="3" s="1"/>
  <c r="R422" i="3"/>
  <c r="R418" i="3"/>
  <c r="R1464" i="3"/>
  <c r="I125" i="2"/>
  <c r="R1498" i="3"/>
  <c r="K1476" i="3"/>
  <c r="R1476" i="3" s="1"/>
  <c r="K1477" i="3"/>
  <c r="R1477" i="3" s="1"/>
  <c r="K1478" i="3"/>
  <c r="R1478" i="3" s="1"/>
  <c r="K1479" i="3"/>
  <c r="R1479" i="3" s="1"/>
  <c r="K1480" i="3"/>
  <c r="R1480" i="3" s="1"/>
  <c r="D1481" i="3"/>
  <c r="F1481" i="3"/>
  <c r="R1482" i="3"/>
  <c r="K1483" i="3"/>
  <c r="R1483" i="3" s="1"/>
  <c r="R1484" i="3"/>
  <c r="K1485" i="3"/>
  <c r="R1485" i="3" s="1"/>
  <c r="D1486" i="3"/>
  <c r="F1486" i="3"/>
  <c r="O1487" i="3"/>
  <c r="P1487" i="3"/>
  <c r="G1493" i="3"/>
  <c r="I1493" i="3"/>
  <c r="D1493" i="3"/>
  <c r="F1493" i="3"/>
  <c r="J1494" i="3"/>
  <c r="R1494" i="3" s="1"/>
  <c r="G1495" i="3"/>
  <c r="I1495" i="3"/>
  <c r="D1495" i="3"/>
  <c r="F1495" i="3"/>
  <c r="P1496" i="3"/>
  <c r="K1496" i="3"/>
  <c r="J1496" i="3" s="1"/>
  <c r="I127" i="2"/>
  <c r="R1555" i="3"/>
  <c r="I129" i="2"/>
  <c r="R1584" i="3"/>
  <c r="I130" i="2"/>
  <c r="R1420" i="3"/>
  <c r="I123" i="2"/>
  <c r="I124" i="2"/>
  <c r="R1471" i="3"/>
  <c r="N1468" i="3"/>
  <c r="R1468" i="3" s="1"/>
  <c r="R1470" i="3" s="1"/>
  <c r="I126" i="2"/>
  <c r="R1528"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I128" i="2"/>
  <c r="R1603" i="3"/>
  <c r="I131" i="2"/>
  <c r="R1615" i="3"/>
  <c r="I132" i="2"/>
  <c r="R1625" i="3"/>
  <c r="R1619" i="3"/>
  <c r="R1620" i="3"/>
  <c r="R1621" i="3"/>
  <c r="I133" i="2"/>
  <c r="R1635" i="3"/>
  <c r="R1630" i="3"/>
  <c r="R1634" i="3" s="1"/>
  <c r="I134" i="2"/>
  <c r="R1645" i="3"/>
  <c r="R1640" i="3"/>
  <c r="R1644" i="3" s="1"/>
  <c r="I135" i="2"/>
  <c r="R1657" i="3"/>
  <c r="K1650" i="3"/>
  <c r="O1650" i="3" s="1"/>
  <c r="R1650" i="3" s="1"/>
  <c r="K1651" i="3"/>
  <c r="O1651" i="3" s="1"/>
  <c r="R1651" i="3" s="1"/>
  <c r="K1652" i="3"/>
  <c r="O1652" i="3" s="1"/>
  <c r="R1652" i="3" s="1"/>
  <c r="D1653" i="3"/>
  <c r="F1653" i="3"/>
  <c r="O1654" i="3"/>
  <c r="R1654" i="3" s="1"/>
  <c r="I136" i="2"/>
  <c r="R1673" i="3"/>
  <c r="I137" i="2"/>
  <c r="R1693" i="3"/>
  <c r="O1682" i="3"/>
  <c r="R1682" i="3" s="1"/>
  <c r="K1683" i="3"/>
  <c r="O1683" i="3" s="1"/>
  <c r="R1683" i="3" s="1"/>
  <c r="R1684" i="3"/>
  <c r="R1685" i="3"/>
  <c r="R1686" i="3"/>
  <c r="R1687" i="3"/>
  <c r="R1688" i="3"/>
  <c r="R1689" i="3"/>
  <c r="I138" i="2"/>
  <c r="R1714" i="3"/>
  <c r="R1698" i="3"/>
  <c r="R1699" i="3"/>
  <c r="R1701" i="3"/>
  <c r="R1702" i="3"/>
  <c r="R1703" i="3"/>
  <c r="R1704" i="3"/>
  <c r="R1705" i="3"/>
  <c r="R1706" i="3"/>
  <c r="O1707" i="3"/>
  <c r="R1707" i="3" s="1"/>
  <c r="O1708" i="3"/>
  <c r="R1708" i="3" s="1"/>
  <c r="O1709" i="3"/>
  <c r="R1709" i="3" s="1"/>
  <c r="O1710" i="3"/>
  <c r="R1710" i="3" s="1"/>
  <c r="I139" i="2"/>
  <c r="R1723" i="3"/>
  <c r="R1722" i="3"/>
  <c r="I140" i="2"/>
  <c r="R1747" i="3"/>
  <c r="I141" i="2"/>
  <c r="R1769" i="3"/>
  <c r="R1763" i="3"/>
  <c r="R1768" i="3" s="1"/>
  <c r="I142" i="2"/>
  <c r="R1798" i="3"/>
  <c r="I143" i="2"/>
  <c r="I144" i="2"/>
  <c r="R1819" i="3"/>
  <c r="R1818" i="3"/>
  <c r="I145" i="2"/>
  <c r="R1828" i="3"/>
  <c r="R1827" i="3"/>
  <c r="I146" i="2"/>
  <c r="R1837" i="3"/>
  <c r="R1836" i="3"/>
  <c r="I147" i="2"/>
  <c r="R1848" i="3"/>
  <c r="O1844" i="3"/>
  <c r="G1845" i="3"/>
  <c r="D1845" i="3"/>
  <c r="I1845" i="3"/>
  <c r="F1845" i="3"/>
  <c r="O1845" i="3"/>
  <c r="D1846" i="3"/>
  <c r="F1846" i="3"/>
  <c r="O1846" i="3"/>
  <c r="I148" i="2"/>
  <c r="R1862" i="3"/>
  <c r="I149" i="2"/>
  <c r="R1872" i="3"/>
  <c r="R1871" i="3"/>
  <c r="I150" i="2"/>
  <c r="R1881" i="3"/>
  <c r="R1880" i="3"/>
  <c r="I151" i="2"/>
  <c r="R1893" i="3"/>
  <c r="G1888" i="3"/>
  <c r="D1888" i="3"/>
  <c r="I1888" i="3"/>
  <c r="F1888" i="3"/>
  <c r="G1889" i="3"/>
  <c r="D1889" i="3"/>
  <c r="I1889" i="3"/>
  <c r="F1889" i="3"/>
  <c r="D1890" i="3"/>
  <c r="F1890" i="3"/>
  <c r="I152" i="2"/>
  <c r="R1902" i="3"/>
  <c r="I153" i="2"/>
  <c r="R1915" i="3"/>
  <c r="I154" i="2"/>
  <c r="CB17" i="5"/>
  <c r="CB29" i="5"/>
  <c r="CB35" i="5"/>
  <c r="CB20" i="5"/>
  <c r="CB53" i="5"/>
  <c r="I48" i="2"/>
  <c r="I47" i="2"/>
  <c r="I46" i="2"/>
  <c r="I50" i="2"/>
  <c r="I60" i="2"/>
  <c r="I61" i="2"/>
  <c r="I62" i="2"/>
  <c r="I75" i="2"/>
  <c r="I74" i="2"/>
  <c r="I90" i="2"/>
  <c r="I89" i="2"/>
  <c r="I88" i="2"/>
  <c r="I87" i="2"/>
  <c r="I93" i="2"/>
  <c r="I92" i="2"/>
  <c r="I98" i="2"/>
  <c r="I97" i="2"/>
  <c r="I96" i="2"/>
  <c r="I95" i="2"/>
  <c r="A116" i="1"/>
  <c r="D116" i="1" s="1"/>
  <c r="G116" i="1" s="1"/>
  <c r="A115" i="1"/>
  <c r="C115" i="1" s="1"/>
  <c r="A114" i="1"/>
  <c r="C114" i="1" s="1"/>
  <c r="A113" i="1"/>
  <c r="C113" i="1" s="1"/>
  <c r="A112" i="1"/>
  <c r="F112" i="1" s="1"/>
  <c r="A111" i="1"/>
  <c r="C111" i="1" s="1"/>
  <c r="A110" i="1"/>
  <c r="C110" i="1" s="1"/>
  <c r="A109" i="1"/>
  <c r="F109" i="1" s="1"/>
  <c r="A107" i="1"/>
  <c r="E107" i="1" s="1"/>
  <c r="A105" i="1"/>
  <c r="F105" i="1" s="1"/>
  <c r="A104" i="1"/>
  <c r="F104" i="1" s="1"/>
  <c r="A103" i="1"/>
  <c r="F103" i="1" s="1"/>
  <c r="A102" i="1"/>
  <c r="E102" i="1" s="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4" i="1"/>
  <c r="F154" i="1" s="1"/>
  <c r="A152" i="1"/>
  <c r="C152" i="1" s="1"/>
  <c r="A148" i="1"/>
  <c r="C148" i="1" s="1"/>
  <c r="A143" i="1"/>
  <c r="F143" i="1" s="1"/>
  <c r="A142" i="1"/>
  <c r="C142" i="1" s="1"/>
  <c r="A141" i="1"/>
  <c r="F141" i="1" s="1"/>
  <c r="A137" i="1"/>
  <c r="C137" i="1" s="1"/>
  <c r="A132" i="1"/>
  <c r="F132" i="1" s="1"/>
  <c r="A131" i="1"/>
  <c r="C131" i="1" s="1"/>
  <c r="A130" i="1"/>
  <c r="E130" i="1" s="1"/>
  <c r="A129" i="1"/>
  <c r="C129" i="1" s="1"/>
  <c r="A127" i="1"/>
  <c r="F127" i="1" s="1"/>
  <c r="A125" i="1"/>
  <c r="E125" i="1" s="1"/>
  <c r="A117" i="1"/>
  <c r="A108" i="1"/>
  <c r="C108" i="1" s="1"/>
  <c r="A106" i="1"/>
  <c r="G106" i="1" s="1"/>
  <c r="H106" i="1" s="1"/>
  <c r="A101" i="1"/>
  <c r="A85" i="1"/>
  <c r="C85" i="1" s="1"/>
  <c r="A81" i="1"/>
  <c r="F81" i="1" s="1"/>
  <c r="A80" i="1"/>
  <c r="C80" i="1" s="1"/>
  <c r="A79" i="1"/>
  <c r="F79" i="1" s="1"/>
  <c r="A78" i="1"/>
  <c r="C78" i="1" s="1"/>
  <c r="A76" i="1"/>
  <c r="F76" i="1" s="1"/>
  <c r="A75" i="1"/>
  <c r="C75" i="1" s="1"/>
  <c r="A74" i="1"/>
  <c r="E74" i="1" s="1"/>
  <c r="A73" i="1"/>
  <c r="B73" i="1" s="1"/>
  <c r="A72" i="1"/>
  <c r="B72" i="1" s="1"/>
  <c r="A71" i="1"/>
  <c r="A70" i="1"/>
  <c r="E70" i="1" s="1"/>
  <c r="A69" i="1"/>
  <c r="F69" i="1" s="1"/>
  <c r="A68" i="1"/>
  <c r="A67" i="1"/>
  <c r="C67" i="1" s="1"/>
  <c r="A66" i="1"/>
  <c r="F66" i="1" s="1"/>
  <c r="A65" i="1"/>
  <c r="E65" i="1" s="1"/>
  <c r="A64" i="1"/>
  <c r="F64" i="1" s="1"/>
  <c r="A63" i="1"/>
  <c r="B63" i="1" s="1"/>
  <c r="A51" i="1"/>
  <c r="E51" i="1" s="1"/>
  <c r="A45" i="1"/>
  <c r="F45" i="1" s="1"/>
  <c r="A44" i="1"/>
  <c r="B44" i="1" s="1"/>
  <c r="A39" i="1"/>
  <c r="E39" i="1" s="1"/>
  <c r="A38" i="1"/>
  <c r="E38" i="1" s="1"/>
  <c r="A37" i="1"/>
  <c r="A35" i="1"/>
  <c r="F35" i="1" s="1"/>
  <c r="A34" i="1"/>
  <c r="E34" i="1" s="1"/>
  <c r="A30" i="1"/>
  <c r="F30" i="1" s="1"/>
  <c r="R22" i="3"/>
  <c r="R21" i="3"/>
  <c r="AD17" i="2"/>
  <c r="R32" i="3"/>
  <c r="R31" i="3"/>
  <c r="AD18" i="2"/>
  <c r="R43" i="3"/>
  <c r="R42" i="3"/>
  <c r="AD19" i="2"/>
  <c r="AE19" i="2" s="1"/>
  <c r="R53" i="3"/>
  <c r="R52" i="3"/>
  <c r="AD20" i="2"/>
  <c r="AE20" i="2" s="1"/>
  <c r="R63" i="3"/>
  <c r="R60" i="3"/>
  <c r="R62" i="3" s="1"/>
  <c r="AD21" i="2"/>
  <c r="AE21" i="2" s="1"/>
  <c r="R73" i="3"/>
  <c r="R72" i="3"/>
  <c r="AD22" i="2"/>
  <c r="AE22" i="2" s="1"/>
  <c r="R83" i="3"/>
  <c r="R82" i="3"/>
  <c r="AD23" i="2"/>
  <c r="J82" i="3" s="1"/>
  <c r="I25" i="2"/>
  <c r="Q25" i="2" s="1"/>
  <c r="AD35" i="2"/>
  <c r="J335" i="3" s="1"/>
  <c r="AD36" i="2"/>
  <c r="J357" i="3" s="1"/>
  <c r="AD37" i="2"/>
  <c r="AD39" i="2"/>
  <c r="J396" i="3" s="1"/>
  <c r="AD40" i="2"/>
  <c r="J412" i="3" s="1"/>
  <c r="AD41" i="2"/>
  <c r="J421" i="3" s="1"/>
  <c r="AD43" i="2"/>
  <c r="AD46" i="2"/>
  <c r="J457" i="3" s="1"/>
  <c r="AD47" i="2"/>
  <c r="AE47" i="2" s="1"/>
  <c r="AD48" i="2"/>
  <c r="AE48" i="2" s="1"/>
  <c r="AD50" i="2"/>
  <c r="J493" i="3" s="1"/>
  <c r="AD53" i="2"/>
  <c r="J535" i="3" s="1"/>
  <c r="R546" i="3"/>
  <c r="R541" i="3"/>
  <c r="R542" i="3"/>
  <c r="AD54" i="2"/>
  <c r="J545" i="3" s="1"/>
  <c r="R556" i="3"/>
  <c r="R555" i="3"/>
  <c r="AD55" i="2"/>
  <c r="J555" i="3" s="1"/>
  <c r="R566" i="3"/>
  <c r="R561" i="3"/>
  <c r="R562" i="3"/>
  <c r="AD56" i="2"/>
  <c r="J565" i="3" s="1"/>
  <c r="R576" i="3"/>
  <c r="R575" i="3"/>
  <c r="AD57" i="2"/>
  <c r="AE57" i="2" s="1"/>
  <c r="R586" i="3"/>
  <c r="R581" i="3"/>
  <c r="R582" i="3"/>
  <c r="R583" i="3"/>
  <c r="AD58" i="2"/>
  <c r="J585" i="3" s="1"/>
  <c r="AD60" i="2"/>
  <c r="AE60" i="2" s="1"/>
  <c r="AD61" i="2"/>
  <c r="J616" i="3" s="1"/>
  <c r="AD62" i="2"/>
  <c r="J628" i="3" s="1"/>
  <c r="AD65" i="2"/>
  <c r="AE65" i="2" s="1"/>
  <c r="AD69" i="2"/>
  <c r="J774" i="3" s="1"/>
  <c r="AD74" i="2"/>
  <c r="AE74" i="2" s="1"/>
  <c r="AD75" i="2"/>
  <c r="J838" i="3" s="1"/>
  <c r="AD77" i="2"/>
  <c r="AE77" i="2" s="1"/>
  <c r="AD79" i="2"/>
  <c r="J900" i="3" s="1"/>
  <c r="AD80" i="2"/>
  <c r="J909" i="3" s="1"/>
  <c r="AD82" i="2"/>
  <c r="J931" i="3" s="1"/>
  <c r="AD83" i="2"/>
  <c r="J940" i="3" s="1"/>
  <c r="AD84" i="2"/>
  <c r="J950" i="3" s="1"/>
  <c r="AD87" i="2"/>
  <c r="AE87" i="2" s="1"/>
  <c r="AD88" i="2"/>
  <c r="J1000" i="3" s="1"/>
  <c r="AD89" i="2"/>
  <c r="J1010" i="3" s="1"/>
  <c r="AD90" i="2"/>
  <c r="J1020" i="3" s="1"/>
  <c r="AD92" i="2"/>
  <c r="J1030" i="3" s="1"/>
  <c r="AD93" i="2"/>
  <c r="J1040" i="3" s="1"/>
  <c r="AD95" i="2"/>
  <c r="AE95" i="2" s="1"/>
  <c r="AD96" i="2"/>
  <c r="AE96" i="2" s="1"/>
  <c r="AD97" i="2"/>
  <c r="AE97" i="2" s="1"/>
  <c r="AD98" i="2"/>
  <c r="J1092" i="3" s="1"/>
  <c r="AD100" i="2"/>
  <c r="AE100" i="2" s="1"/>
  <c r="AD102" i="2"/>
  <c r="J1129" i="3" s="1"/>
  <c r="AD103" i="2"/>
  <c r="J1139" i="3" s="1"/>
  <c r="AD104" i="2"/>
  <c r="AE104" i="2" s="1"/>
  <c r="AD105" i="2"/>
  <c r="AE105" i="2" s="1"/>
  <c r="AD107" i="2"/>
  <c r="AD109" i="2"/>
  <c r="J1197" i="3" s="1"/>
  <c r="AD110" i="2"/>
  <c r="J1211" i="3" s="1"/>
  <c r="AD111" i="2"/>
  <c r="J1246" i="3" s="1"/>
  <c r="AD112" i="2"/>
  <c r="J1265" i="3" s="1"/>
  <c r="AD113" i="2"/>
  <c r="J1282" i="3" s="1"/>
  <c r="AD114" i="2"/>
  <c r="J1300" i="3" s="1"/>
  <c r="AD115" i="2"/>
  <c r="AE115" i="2" s="1"/>
  <c r="AD118" i="2"/>
  <c r="J1378" i="3" s="1"/>
  <c r="AD119" i="2"/>
  <c r="J1399" i="3" s="1"/>
  <c r="AD120" i="2"/>
  <c r="J1409" i="3" s="1"/>
  <c r="AD123" i="2"/>
  <c r="J1419" i="3" s="1"/>
  <c r="AD124" i="2"/>
  <c r="J1437" i="3" s="1"/>
  <c r="AD126" i="2"/>
  <c r="J1470" i="3" s="1"/>
  <c r="AD128" i="2"/>
  <c r="F128" i="2" s="1"/>
  <c r="G128" i="2" s="1"/>
  <c r="W128" i="2" s="1"/>
  <c r="AD133" i="2"/>
  <c r="F133" i="2" s="1"/>
  <c r="G133" i="2" s="1"/>
  <c r="W133" i="2" s="1"/>
  <c r="AD134" i="2"/>
  <c r="AE134" i="2" s="1"/>
  <c r="AD135" i="2"/>
  <c r="F135" i="2" s="1"/>
  <c r="G135" i="2" s="1"/>
  <c r="AD136" i="2"/>
  <c r="F136" i="2" s="1"/>
  <c r="G136" i="2" s="1"/>
  <c r="AD138" i="2"/>
  <c r="F138" i="2" s="1"/>
  <c r="G138" i="2" s="1"/>
  <c r="AD139" i="2"/>
  <c r="F139" i="2" s="1"/>
  <c r="G139" i="2" s="1"/>
  <c r="AD140" i="2"/>
  <c r="AE140" i="2" s="1"/>
  <c r="AD144" i="2"/>
  <c r="AE144" i="2" s="1"/>
  <c r="AD145" i="2"/>
  <c r="F145" i="2" s="1"/>
  <c r="G145" i="2" s="1"/>
  <c r="W145" i="2" s="1"/>
  <c r="AD146" i="2"/>
  <c r="AE146" i="2" s="1"/>
  <c r="AD147" i="2"/>
  <c r="F147" i="2" s="1"/>
  <c r="G147" i="2" s="1"/>
  <c r="W147" i="2" s="1"/>
  <c r="AD149" i="2"/>
  <c r="F149" i="2" s="1"/>
  <c r="G149" i="2" s="1"/>
  <c r="W149" i="2" s="1"/>
  <c r="AD150" i="2"/>
  <c r="AD151" i="2"/>
  <c r="F151" i="2" s="1"/>
  <c r="G151" i="2" s="1"/>
  <c r="W151" i="2" s="1"/>
  <c r="AD153" i="2"/>
  <c r="J1901" i="3" s="1"/>
  <c r="J1902" i="3" s="1"/>
  <c r="AG24" i="2"/>
  <c r="AH24" i="2" s="1"/>
  <c r="AG49" i="2"/>
  <c r="AH49" i="2" s="1"/>
  <c r="AH68" i="2"/>
  <c r="AH99" i="2"/>
  <c r="AH106" i="2"/>
  <c r="AG121" i="2"/>
  <c r="AH121" i="2" s="1"/>
  <c r="AG122" i="2"/>
  <c r="AH122" i="2" s="1"/>
  <c r="AD155" i="2"/>
  <c r="J1923" i="3" s="1"/>
  <c r="F108" i="1"/>
  <c r="B108" i="1"/>
  <c r="I977" i="3"/>
  <c r="H977" i="3"/>
  <c r="G977" i="3"/>
  <c r="F977" i="3"/>
  <c r="E977" i="3"/>
  <c r="D977" i="3"/>
  <c r="I976" i="3"/>
  <c r="H976" i="3"/>
  <c r="G976" i="3"/>
  <c r="F976" i="3"/>
  <c r="E976" i="3"/>
  <c r="D976" i="3"/>
  <c r="AH31" i="2"/>
  <c r="AH32" i="2"/>
  <c r="AH33" i="2"/>
  <c r="AH42" i="2"/>
  <c r="AH44" i="2"/>
  <c r="AH52" i="2"/>
  <c r="AH59" i="2"/>
  <c r="O1794" i="3"/>
  <c r="O1793" i="3"/>
  <c r="D1766" i="3"/>
  <c r="E1766" i="3"/>
  <c r="F1766" i="3"/>
  <c r="N1550" i="3"/>
  <c r="N1549" i="3"/>
  <c r="D1365" i="3"/>
  <c r="I1367" i="3"/>
  <c r="H1367" i="3"/>
  <c r="G1367" i="3"/>
  <c r="F1367" i="3"/>
  <c r="E1367" i="3"/>
  <c r="D1367" i="3"/>
  <c r="I1366" i="3"/>
  <c r="H1366" i="3"/>
  <c r="G1366" i="3"/>
  <c r="F1366" i="3"/>
  <c r="E1366" i="3"/>
  <c r="D1366" i="3"/>
  <c r="I885" i="3"/>
  <c r="AD68" i="2"/>
  <c r="J764" i="3" s="1"/>
  <c r="A87" i="4"/>
  <c r="A58" i="4"/>
  <c r="D57" i="4"/>
  <c r="A48" i="4"/>
  <c r="D47" i="4"/>
  <c r="A38" i="4"/>
  <c r="D37" i="4"/>
  <c r="A28" i="4"/>
  <c r="D27" i="4"/>
  <c r="A18" i="4"/>
  <c r="D17" i="4"/>
  <c r="K15" i="4"/>
  <c r="DP56" i="5"/>
  <c r="DP34" i="5"/>
  <c r="H885" i="3"/>
  <c r="G885" i="3"/>
  <c r="F885" i="3"/>
  <c r="E885" i="3"/>
  <c r="D885" i="3"/>
  <c r="J979" i="3"/>
  <c r="H856" i="3"/>
  <c r="E856" i="3"/>
  <c r="V711" i="3"/>
  <c r="H1911" i="3"/>
  <c r="E1911" i="3"/>
  <c r="H1890" i="3"/>
  <c r="E1890" i="3"/>
  <c r="O1792" i="3"/>
  <c r="H1669" i="3"/>
  <c r="E1669" i="3"/>
  <c r="N1548" i="3"/>
  <c r="I1365" i="3"/>
  <c r="H1365" i="3"/>
  <c r="G1365" i="3"/>
  <c r="F1365" i="3"/>
  <c r="E1365" i="3"/>
  <c r="H1181" i="3"/>
  <c r="E1181" i="3"/>
  <c r="H1117" i="3"/>
  <c r="E1117" i="3"/>
  <c r="I884" i="3"/>
  <c r="H884" i="3"/>
  <c r="G884" i="3"/>
  <c r="F884" i="3"/>
  <c r="E884" i="3"/>
  <c r="D884" i="3"/>
  <c r="I883" i="3"/>
  <c r="H883" i="3"/>
  <c r="G883" i="3"/>
  <c r="F883" i="3"/>
  <c r="E883" i="3"/>
  <c r="D883" i="3"/>
  <c r="H855" i="3"/>
  <c r="E855" i="3"/>
  <c r="K803" i="3"/>
  <c r="K805" i="3"/>
  <c r="H804" i="3"/>
  <c r="E804" i="3"/>
  <c r="H517" i="3"/>
  <c r="E517" i="3"/>
  <c r="I975" i="3"/>
  <c r="H975" i="3"/>
  <c r="G975" i="3"/>
  <c r="F975" i="3"/>
  <c r="E975" i="3"/>
  <c r="D975" i="3"/>
  <c r="D266" i="3"/>
  <c r="D305" i="3" s="1"/>
  <c r="J171" i="3"/>
  <c r="J221" i="3" s="1"/>
  <c r="J266" i="3" s="1"/>
  <c r="J305" i="3" s="1"/>
  <c r="G171" i="3"/>
  <c r="G221" i="3" s="1"/>
  <c r="G266" i="3" s="1"/>
  <c r="G305" i="3" s="1"/>
  <c r="D171" i="3"/>
  <c r="D221" i="3" s="1"/>
  <c r="AI67" i="2"/>
  <c r="ER63" i="5"/>
  <c r="ES63" i="5" s="1"/>
  <c r="ET14" i="5"/>
  <c r="EN32" i="5"/>
  <c r="EN14" i="5"/>
  <c r="L56" i="5"/>
  <c r="P56" i="5"/>
  <c r="T56" i="5"/>
  <c r="X56" i="5"/>
  <c r="AB56" i="5"/>
  <c r="AF56" i="5"/>
  <c r="AJ56" i="5"/>
  <c r="AN56" i="5"/>
  <c r="AR56" i="5"/>
  <c r="AV56" i="5"/>
  <c r="AZ56" i="5"/>
  <c r="BD56" i="5"/>
  <c r="BH56" i="5"/>
  <c r="BL56" i="5"/>
  <c r="BP56" i="5"/>
  <c r="BT56" i="5"/>
  <c r="BX56" i="5"/>
  <c r="CF56" i="5"/>
  <c r="CJ56" i="5"/>
  <c r="CN56" i="5"/>
  <c r="CR56" i="5"/>
  <c r="CV56" i="5"/>
  <c r="DL56" i="5"/>
  <c r="H56" i="5"/>
  <c r="DH52" i="5"/>
  <c r="DD52" i="5"/>
  <c r="CZ52" i="5"/>
  <c r="AV52" i="5"/>
  <c r="AR52" i="5"/>
  <c r="AN52" i="5"/>
  <c r="AJ52" i="5"/>
  <c r="AF52" i="5"/>
  <c r="AB52" i="5"/>
  <c r="X52" i="5"/>
  <c r="T52" i="5"/>
  <c r="P52" i="5"/>
  <c r="L52" i="5"/>
  <c r="H52" i="5"/>
  <c r="DH49" i="5"/>
  <c r="DD49" i="5"/>
  <c r="CZ49" i="5"/>
  <c r="CB49" i="5"/>
  <c r="BD49" i="5"/>
  <c r="AV49" i="5"/>
  <c r="AR49" i="5"/>
  <c r="AN49" i="5"/>
  <c r="AJ49" i="5"/>
  <c r="H49" i="5"/>
  <c r="DH46" i="5"/>
  <c r="DD46" i="5"/>
  <c r="CZ46" i="5"/>
  <c r="CV46" i="5"/>
  <c r="CN46" i="5"/>
  <c r="CJ46" i="5"/>
  <c r="CF46" i="5"/>
  <c r="CB46" i="5"/>
  <c r="BX46" i="5"/>
  <c r="BT46" i="5"/>
  <c r="BD46" i="5"/>
  <c r="AZ46" i="5"/>
  <c r="AV46" i="5"/>
  <c r="AR46" i="5"/>
  <c r="AN46" i="5"/>
  <c r="AF46" i="5"/>
  <c r="H46" i="5"/>
  <c r="DH43" i="5"/>
  <c r="DD43" i="5"/>
  <c r="CZ43" i="5"/>
  <c r="CV43" i="5"/>
  <c r="CN43" i="5"/>
  <c r="CJ43" i="5"/>
  <c r="CF43" i="5"/>
  <c r="CB43" i="5"/>
  <c r="BT43" i="5"/>
  <c r="BP43" i="5"/>
  <c r="BL43" i="5"/>
  <c r="BH43" i="5"/>
  <c r="BD43" i="5"/>
  <c r="AZ43" i="5"/>
  <c r="AV43" i="5"/>
  <c r="AR43" i="5"/>
  <c r="AN43" i="5"/>
  <c r="AF43" i="5"/>
  <c r="AB43" i="5"/>
  <c r="X43" i="5"/>
  <c r="T43" i="5"/>
  <c r="P43" i="5"/>
  <c r="H43" i="5"/>
  <c r="DH40" i="5"/>
  <c r="DD40" i="5"/>
  <c r="CZ40" i="5"/>
  <c r="CV40" i="5"/>
  <c r="CR40" i="5"/>
  <c r="CN40" i="5"/>
  <c r="CJ40" i="5"/>
  <c r="CF40" i="5"/>
  <c r="CB40" i="5"/>
  <c r="BX40" i="5"/>
  <c r="BT40" i="5"/>
  <c r="BP40" i="5"/>
  <c r="BD40" i="5"/>
  <c r="AV40" i="5"/>
  <c r="AR40" i="5"/>
  <c r="AN40" i="5"/>
  <c r="AJ40" i="5"/>
  <c r="P40" i="5"/>
  <c r="H40" i="5"/>
  <c r="DH37" i="5"/>
  <c r="DD37" i="5"/>
  <c r="CZ37" i="5"/>
  <c r="CJ37" i="5"/>
  <c r="CF37" i="5"/>
  <c r="CB37" i="5"/>
  <c r="BX37" i="5"/>
  <c r="BT37" i="5"/>
  <c r="BD37" i="5"/>
  <c r="H37" i="5"/>
  <c r="DH34" i="5"/>
  <c r="DD34" i="5"/>
  <c r="CZ34" i="5"/>
  <c r="BT34" i="5"/>
  <c r="BP34" i="5"/>
  <c r="BL34" i="5"/>
  <c r="BH34" i="5"/>
  <c r="AB34" i="5"/>
  <c r="X34" i="5"/>
  <c r="T34" i="5"/>
  <c r="P34" i="5"/>
  <c r="L34" i="5"/>
  <c r="H34" i="5"/>
  <c r="DT31" i="5"/>
  <c r="DL31" i="5"/>
  <c r="DH31" i="5"/>
  <c r="DD31" i="5"/>
  <c r="CZ31" i="5"/>
  <c r="CV31" i="5"/>
  <c r="CR31" i="5"/>
  <c r="CJ31" i="5"/>
  <c r="CF31" i="5"/>
  <c r="CB31" i="5"/>
  <c r="BX31" i="5"/>
  <c r="BT31" i="5"/>
  <c r="BP31" i="5"/>
  <c r="BL31" i="5"/>
  <c r="BH31" i="5"/>
  <c r="BD31" i="5"/>
  <c r="AZ31" i="5"/>
  <c r="AV31" i="5"/>
  <c r="AR31" i="5"/>
  <c r="AN31" i="5"/>
  <c r="X31" i="5"/>
  <c r="T31" i="5"/>
  <c r="P31" i="5"/>
  <c r="L31" i="5"/>
  <c r="H31" i="5"/>
  <c r="DH28" i="5"/>
  <c r="DD28" i="5"/>
  <c r="CZ28" i="5"/>
  <c r="BT28" i="5"/>
  <c r="BP28" i="5"/>
  <c r="BL28" i="5"/>
  <c r="BH28" i="5"/>
  <c r="BD28" i="5"/>
  <c r="AZ28" i="5"/>
  <c r="AV28" i="5"/>
  <c r="X28" i="5"/>
  <c r="T28" i="5"/>
  <c r="P28" i="5"/>
  <c r="L28" i="5"/>
  <c r="H28" i="5"/>
  <c r="DH25" i="5"/>
  <c r="DD25" i="5"/>
  <c r="CZ25" i="5"/>
  <c r="CV25" i="5"/>
  <c r="CR25" i="5"/>
  <c r="CN25" i="5"/>
  <c r="CJ25" i="5"/>
  <c r="CF25" i="5"/>
  <c r="CB25" i="5"/>
  <c r="BX25" i="5"/>
  <c r="BT25" i="5"/>
  <c r="BP25" i="5"/>
  <c r="BL25" i="5"/>
  <c r="BH25" i="5"/>
  <c r="AV25" i="5"/>
  <c r="AR25" i="5"/>
  <c r="AN25" i="5"/>
  <c r="AJ25" i="5"/>
  <c r="AB25" i="5"/>
  <c r="X25" i="5"/>
  <c r="T25" i="5"/>
  <c r="P25" i="5"/>
  <c r="L25" i="5"/>
  <c r="H25" i="5"/>
  <c r="DH22" i="5"/>
  <c r="DD22" i="5"/>
  <c r="CZ22" i="5"/>
  <c r="CR22" i="5"/>
  <c r="CJ22" i="5"/>
  <c r="CF22" i="5"/>
  <c r="CB22" i="5"/>
  <c r="BX22" i="5"/>
  <c r="BT22" i="5"/>
  <c r="BP22" i="5"/>
  <c r="BL22" i="5"/>
  <c r="BH22" i="5"/>
  <c r="BD22" i="5"/>
  <c r="AZ22" i="5"/>
  <c r="AV22" i="5"/>
  <c r="AR22" i="5"/>
  <c r="AN22" i="5"/>
  <c r="AF22" i="5"/>
  <c r="AB22" i="5"/>
  <c r="X22" i="5"/>
  <c r="T22" i="5"/>
  <c r="P22" i="5"/>
  <c r="L22" i="5"/>
  <c r="H22" i="5"/>
  <c r="DH19" i="5"/>
  <c r="DD19" i="5"/>
  <c r="CZ19" i="5"/>
  <c r="CV19" i="5"/>
  <c r="BT19" i="5"/>
  <c r="BP19" i="5"/>
  <c r="BL19" i="5"/>
  <c r="BH19" i="5"/>
  <c r="AF19" i="5"/>
  <c r="AB19" i="5"/>
  <c r="X19" i="5"/>
  <c r="T19" i="5"/>
  <c r="P19" i="5"/>
  <c r="L19" i="5"/>
  <c r="H19" i="5"/>
  <c r="AV16" i="5"/>
  <c r="AR16" i="5"/>
  <c r="AN16" i="5"/>
  <c r="AJ16" i="5"/>
  <c r="EB13" i="5"/>
  <c r="DX13" i="5"/>
  <c r="DT13" i="5"/>
  <c r="DL13" i="5"/>
  <c r="DH13" i="5"/>
  <c r="DD13" i="5"/>
  <c r="CZ13" i="5"/>
  <c r="CV13" i="5"/>
  <c r="CR13" i="5"/>
  <c r="CJ13" i="5"/>
  <c r="CF13" i="5"/>
  <c r="CB13" i="5"/>
  <c r="BX13" i="5"/>
  <c r="BT13" i="5"/>
  <c r="BP13" i="5"/>
  <c r="BL13" i="5"/>
  <c r="BH13" i="5"/>
  <c r="BD13" i="5"/>
  <c r="AV13" i="5"/>
  <c r="AR13" i="5"/>
  <c r="AN13" i="5"/>
  <c r="AJ13" i="5"/>
  <c r="AB13" i="5"/>
  <c r="X13" i="5"/>
  <c r="T13" i="5"/>
  <c r="P13" i="5"/>
  <c r="L13" i="5"/>
  <c r="ER14" i="5"/>
  <c r="ES14" i="5" s="1"/>
  <c r="EU14" i="5" s="1"/>
  <c r="ES18" i="5"/>
  <c r="EU18" i="5" s="1"/>
  <c r="ES19" i="5"/>
  <c r="EU19" i="5"/>
  <c r="ES21" i="5"/>
  <c r="EU21" i="5"/>
  <c r="ES22" i="5"/>
  <c r="EU22" i="5"/>
  <c r="ES24" i="5"/>
  <c r="EU24" i="5"/>
  <c r="ES25" i="5"/>
  <c r="EU25" i="5" s="1"/>
  <c r="ES27" i="5"/>
  <c r="EU27" i="5"/>
  <c r="ES28" i="5"/>
  <c r="EU28" i="5"/>
  <c r="ES30" i="5"/>
  <c r="EU30" i="5" s="1"/>
  <c r="ES31" i="5"/>
  <c r="EU31" i="5" s="1"/>
  <c r="ES33" i="5"/>
  <c r="EU33" i="5" s="1"/>
  <c r="ES34" i="5"/>
  <c r="EU34" i="5" s="1"/>
  <c r="ES36" i="5"/>
  <c r="EU36" i="5"/>
  <c r="ES37" i="5"/>
  <c r="EU37" i="5"/>
  <c r="ES39" i="5"/>
  <c r="EU39" i="5" s="1"/>
  <c r="ES40" i="5"/>
  <c r="EU40" i="5"/>
  <c r="ES42" i="5"/>
  <c r="EU42" i="5"/>
  <c r="ES43" i="5"/>
  <c r="EU43" i="5"/>
  <c r="ES45" i="5"/>
  <c r="EU45" i="5"/>
  <c r="ES46" i="5"/>
  <c r="EU46" i="5" s="1"/>
  <c r="ES48" i="5"/>
  <c r="EU48" i="5"/>
  <c r="ES49" i="5"/>
  <c r="EU49" i="5"/>
  <c r="ES51" i="5"/>
  <c r="EU51" i="5" s="1"/>
  <c r="ES52" i="5"/>
  <c r="EU52" i="5" s="1"/>
  <c r="ER32" i="5"/>
  <c r="ES32" i="5" s="1"/>
  <c r="F51" i="5"/>
  <c r="G51" i="5"/>
  <c r="BH52" i="5" s="1"/>
  <c r="F48" i="5"/>
  <c r="G48" i="5"/>
  <c r="CJ49" i="5" s="1"/>
  <c r="CR49" i="5"/>
  <c r="F45" i="5"/>
  <c r="G45" i="5" s="1"/>
  <c r="F42" i="5"/>
  <c r="G42" i="5"/>
  <c r="DP43" i="5" s="1"/>
  <c r="F39" i="5"/>
  <c r="G39" i="5"/>
  <c r="X40" i="5" s="1"/>
  <c r="AF40" i="5"/>
  <c r="F36" i="5"/>
  <c r="G36" i="5"/>
  <c r="AR37" i="5" s="1"/>
  <c r="F33" i="5"/>
  <c r="G33" i="5"/>
  <c r="BD34" i="5" s="1"/>
  <c r="CJ34" i="5"/>
  <c r="F30" i="5"/>
  <c r="G30" i="5"/>
  <c r="AB31" i="5" s="1"/>
  <c r="CN31" i="5"/>
  <c r="F27" i="5"/>
  <c r="G27" i="5"/>
  <c r="DL28" i="5" s="1"/>
  <c r="F24" i="5"/>
  <c r="G24" i="5" s="1"/>
  <c r="F21" i="5"/>
  <c r="G21" i="5"/>
  <c r="DP22" i="5" s="1"/>
  <c r="F18" i="5"/>
  <c r="G18" i="5"/>
  <c r="BX19" i="5" s="1"/>
  <c r="BD19" i="5"/>
  <c r="F15" i="5"/>
  <c r="G15" i="5" s="1"/>
  <c r="F12" i="5"/>
  <c r="EN13" i="5" s="1"/>
  <c r="X49" i="5"/>
  <c r="AB49" i="5"/>
  <c r="CR34" i="5"/>
  <c r="CV34" i="5"/>
  <c r="CR43" i="5"/>
  <c r="BX49" i="5"/>
  <c r="AJ34" i="5"/>
  <c r="L49" i="5"/>
  <c r="P49" i="5"/>
  <c r="T49" i="5"/>
  <c r="P37" i="5"/>
  <c r="BT52" i="5"/>
  <c r="T37" i="5"/>
  <c r="X37" i="5"/>
  <c r="L37" i="5"/>
  <c r="CN37" i="5"/>
  <c r="DL40" i="5"/>
  <c r="BL49" i="5"/>
  <c r="BP49" i="5"/>
  <c r="BT49" i="5"/>
  <c r="BX43" i="5"/>
  <c r="DL37" i="5"/>
  <c r="CN22" i="5"/>
  <c r="AN34" i="5"/>
  <c r="L43" i="5"/>
  <c r="CN49" i="5"/>
  <c r="AJ19" i="5"/>
  <c r="CF52" i="5"/>
  <c r="CJ52" i="5"/>
  <c r="BL37" i="5"/>
  <c r="AN37" i="5"/>
  <c r="AZ37" i="5"/>
  <c r="CF34" i="5"/>
  <c r="AJ43" i="5"/>
  <c r="CV52" i="5"/>
  <c r="AR34" i="5"/>
  <c r="AV34" i="5"/>
  <c r="DL22" i="5"/>
  <c r="AZ34" i="5"/>
  <c r="EN31" i="5"/>
  <c r="BX34" i="5"/>
  <c r="E1910" i="3"/>
  <c r="H1910" i="3"/>
  <c r="E1909" i="3"/>
  <c r="H1909" i="3"/>
  <c r="E1889" i="3"/>
  <c r="H1889" i="3"/>
  <c r="E1888" i="3"/>
  <c r="H1888" i="3"/>
  <c r="E1846" i="3"/>
  <c r="H1846" i="3"/>
  <c r="E1845" i="3"/>
  <c r="H1845" i="3"/>
  <c r="O1791" i="3"/>
  <c r="D1765" i="3"/>
  <c r="F1765" i="3"/>
  <c r="G1765" i="3"/>
  <c r="I1765" i="3"/>
  <c r="E1764" i="3"/>
  <c r="E1611" i="3" s="1"/>
  <c r="F1764" i="3"/>
  <c r="G1764" i="3"/>
  <c r="H1764" i="3"/>
  <c r="H1611" i="3" s="1"/>
  <c r="I1764" i="3"/>
  <c r="D1764" i="3"/>
  <c r="E1668" i="3"/>
  <c r="H1668" i="3"/>
  <c r="E1667" i="3"/>
  <c r="H1667" i="3"/>
  <c r="N1547" i="3"/>
  <c r="E1495" i="3"/>
  <c r="H1495" i="3"/>
  <c r="E1493" i="3"/>
  <c r="H1493" i="3"/>
  <c r="D1364" i="3"/>
  <c r="E1364" i="3"/>
  <c r="F1364" i="3"/>
  <c r="G1364" i="3"/>
  <c r="H1364" i="3"/>
  <c r="I1364" i="3"/>
  <c r="E1363" i="3"/>
  <c r="F1363" i="3"/>
  <c r="G1363" i="3"/>
  <c r="H1363" i="3"/>
  <c r="I1363" i="3"/>
  <c r="D1363" i="3"/>
  <c r="E1309" i="3"/>
  <c r="H1309" i="3"/>
  <c r="E1308" i="3"/>
  <c r="H1308" i="3"/>
  <c r="Z13" i="2"/>
  <c r="E1180" i="3"/>
  <c r="H1180" i="3"/>
  <c r="E1179" i="3"/>
  <c r="H1179" i="3"/>
  <c r="E1116" i="3"/>
  <c r="H1116" i="3"/>
  <c r="E1115" i="3"/>
  <c r="H1115" i="3"/>
  <c r="D974" i="3"/>
  <c r="E974" i="3"/>
  <c r="F974" i="3"/>
  <c r="G974" i="3"/>
  <c r="H974" i="3"/>
  <c r="I974" i="3"/>
  <c r="E973" i="3"/>
  <c r="F973" i="3"/>
  <c r="G973" i="3"/>
  <c r="H973" i="3"/>
  <c r="I973" i="3"/>
  <c r="D973" i="3"/>
  <c r="D882" i="3"/>
  <c r="E882" i="3"/>
  <c r="F882" i="3"/>
  <c r="G882" i="3"/>
  <c r="H882" i="3"/>
  <c r="I882" i="3"/>
  <c r="E881" i="3"/>
  <c r="F881" i="3"/>
  <c r="G881" i="3"/>
  <c r="H881" i="3"/>
  <c r="I881" i="3"/>
  <c r="D881" i="3"/>
  <c r="E854" i="3"/>
  <c r="H854" i="3"/>
  <c r="E853" i="3"/>
  <c r="H853" i="3"/>
  <c r="K801" i="3"/>
  <c r="E802" i="3"/>
  <c r="H802" i="3"/>
  <c r="E800" i="3"/>
  <c r="H800" i="3"/>
  <c r="E444" i="3"/>
  <c r="E516" i="3" s="1"/>
  <c r="H444" i="3"/>
  <c r="H516" i="3" s="1"/>
  <c r="E443" i="3"/>
  <c r="E515" i="3" s="1"/>
  <c r="H443" i="3"/>
  <c r="H515" i="3" s="1"/>
  <c r="AG91" i="2"/>
  <c r="AH91" i="2" s="1"/>
  <c r="AG86" i="2"/>
  <c r="AH86" i="2" s="1"/>
  <c r="AG73" i="2"/>
  <c r="AH73" i="2" s="1"/>
  <c r="AG72" i="2"/>
  <c r="AH72" i="2" s="1"/>
  <c r="AG71" i="2"/>
  <c r="AH71" i="2" s="1"/>
  <c r="K317" i="3"/>
  <c r="P317" i="3" s="1"/>
  <c r="K316" i="3"/>
  <c r="P316" i="3" s="1"/>
  <c r="D265" i="3"/>
  <c r="D304" i="3" s="1"/>
  <c r="J170" i="3"/>
  <c r="J220" i="3" s="1"/>
  <c r="J265" i="3" s="1"/>
  <c r="J304" i="3" s="1"/>
  <c r="G170" i="3"/>
  <c r="G220" i="3" s="1"/>
  <c r="G265" i="3" s="1"/>
  <c r="G304" i="3" s="1"/>
  <c r="D170" i="3"/>
  <c r="D220" i="3" s="1"/>
  <c r="K1178" i="3"/>
  <c r="J1899" i="3"/>
  <c r="J1898" i="3"/>
  <c r="L1184" i="3"/>
  <c r="S1185" i="3" s="1"/>
  <c r="C1175" i="3"/>
  <c r="B1175" i="3"/>
  <c r="AD108" i="2"/>
  <c r="J1184" i="3" s="1"/>
  <c r="W108" i="2"/>
  <c r="W106" i="2" s="1"/>
  <c r="M108" i="2"/>
  <c r="Y108" i="2"/>
  <c r="W24" i="2"/>
  <c r="V33" i="2"/>
  <c r="W33" i="2"/>
  <c r="W42" i="2"/>
  <c r="V44" i="2"/>
  <c r="W44" i="2"/>
  <c r="V49" i="2"/>
  <c r="W52" i="2"/>
  <c r="W49" i="2" s="1"/>
  <c r="W59" i="2"/>
  <c r="W73" i="2"/>
  <c r="W99" i="2"/>
  <c r="CZ17" i="5"/>
  <c r="DD17" i="5" s="1"/>
  <c r="E1307" i="3"/>
  <c r="H1307" i="3"/>
  <c r="G260" i="3"/>
  <c r="G299" i="3" s="1"/>
  <c r="G261" i="3"/>
  <c r="G300" i="3" s="1"/>
  <c r="G258" i="3"/>
  <c r="G297" i="3" s="1"/>
  <c r="G259" i="3"/>
  <c r="G298" i="3" s="1"/>
  <c r="D254" i="3"/>
  <c r="D293" i="3" s="1"/>
  <c r="D255" i="3"/>
  <c r="D294" i="3" s="1"/>
  <c r="D256" i="3"/>
  <c r="D295" i="3" s="1"/>
  <c r="D257" i="3"/>
  <c r="D296" i="3" s="1"/>
  <c r="D259" i="3"/>
  <c r="D298" i="3" s="1"/>
  <c r="D260" i="3"/>
  <c r="D299" i="3" s="1"/>
  <c r="D261" i="3"/>
  <c r="D300" i="3" s="1"/>
  <c r="D262" i="3"/>
  <c r="D301" i="3" s="1"/>
  <c r="D263" i="3"/>
  <c r="D302" i="3" s="1"/>
  <c r="D264" i="3"/>
  <c r="D303" i="3" s="1"/>
  <c r="D258" i="3"/>
  <c r="D297" i="3" s="1"/>
  <c r="G165" i="3"/>
  <c r="D165" i="3"/>
  <c r="J165" i="3"/>
  <c r="J260" i="3" s="1"/>
  <c r="J299" i="3" s="1"/>
  <c r="E1362" i="3"/>
  <c r="F1362" i="3"/>
  <c r="G1362" i="3"/>
  <c r="H1362" i="3"/>
  <c r="I1362" i="3"/>
  <c r="D1362" i="3"/>
  <c r="C402" i="3"/>
  <c r="D402" i="3"/>
  <c r="F402" i="3"/>
  <c r="G402" i="3"/>
  <c r="I402" i="3"/>
  <c r="J402" i="3"/>
  <c r="L402" i="3"/>
  <c r="M402" i="3"/>
  <c r="N402" i="3"/>
  <c r="C403" i="3"/>
  <c r="D403" i="3"/>
  <c r="F403" i="3"/>
  <c r="G403" i="3"/>
  <c r="I403" i="3"/>
  <c r="J403" i="3"/>
  <c r="L403" i="3"/>
  <c r="M403" i="3"/>
  <c r="N403" i="3"/>
  <c r="K404" i="3"/>
  <c r="K405" i="3"/>
  <c r="D408" i="3"/>
  <c r="F408" i="3"/>
  <c r="G408" i="3"/>
  <c r="I408" i="3"/>
  <c r="E798" i="3"/>
  <c r="H798" i="3"/>
  <c r="E1491" i="3"/>
  <c r="F1491" i="3"/>
  <c r="G1491" i="3"/>
  <c r="H1491" i="3"/>
  <c r="I1491" i="3"/>
  <c r="D1491" i="3"/>
  <c r="O1790" i="3"/>
  <c r="O1789" i="3"/>
  <c r="E1908" i="3"/>
  <c r="E1887" i="3" s="1"/>
  <c r="E1844" i="3" s="1"/>
  <c r="E1763" i="3" s="1"/>
  <c r="E1666" i="3" s="1"/>
  <c r="H1908" i="3"/>
  <c r="H1887" i="3" s="1"/>
  <c r="H1844" i="3" s="1"/>
  <c r="H1763" i="3" s="1"/>
  <c r="H1610" i="3" s="1"/>
  <c r="V646" i="3"/>
  <c r="E442" i="3"/>
  <c r="E514" i="3" s="1"/>
  <c r="H442" i="3"/>
  <c r="H514" i="3" s="1"/>
  <c r="E972" i="3"/>
  <c r="E1114" i="3" s="1"/>
  <c r="H972" i="3"/>
  <c r="H1114" i="3" s="1"/>
  <c r="V852" i="3"/>
  <c r="J166" i="3"/>
  <c r="J216" i="3" s="1"/>
  <c r="J261" i="3" s="1"/>
  <c r="J167" i="3"/>
  <c r="J217" i="3" s="1"/>
  <c r="J262" i="3" s="1"/>
  <c r="J302" i="3" s="1"/>
  <c r="J168" i="3"/>
  <c r="J218" i="3" s="1"/>
  <c r="J263" i="3" s="1"/>
  <c r="J303" i="3" s="1"/>
  <c r="J169" i="3"/>
  <c r="J219" i="3" s="1"/>
  <c r="J264" i="3" s="1"/>
  <c r="G166" i="3"/>
  <c r="G216" i="3" s="1"/>
  <c r="G167" i="3"/>
  <c r="G217" i="3" s="1"/>
  <c r="G262" i="3" s="1"/>
  <c r="G301" i="3" s="1"/>
  <c r="G168" i="3"/>
  <c r="G218" i="3" s="1"/>
  <c r="G263" i="3" s="1"/>
  <c r="G302" i="3" s="1"/>
  <c r="G169" i="3"/>
  <c r="G219" i="3" s="1"/>
  <c r="G264" i="3" s="1"/>
  <c r="G303" i="3" s="1"/>
  <c r="D166" i="3"/>
  <c r="D216" i="3" s="1"/>
  <c r="D167" i="3"/>
  <c r="D217" i="3" s="1"/>
  <c r="D168" i="3"/>
  <c r="D218" i="3" s="1"/>
  <c r="D169" i="3"/>
  <c r="D219" i="3" s="1"/>
  <c r="K827" i="3"/>
  <c r="AD143" i="2"/>
  <c r="AE143" i="2" s="1"/>
  <c r="H57" i="5"/>
  <c r="L1923" i="3"/>
  <c r="S1924" i="3" s="1"/>
  <c r="C1918" i="3"/>
  <c r="B1918" i="3"/>
  <c r="L1914" i="3"/>
  <c r="S1916" i="3" s="1"/>
  <c r="V1907" i="3"/>
  <c r="C1905" i="3"/>
  <c r="B1905" i="3"/>
  <c r="L1901" i="3"/>
  <c r="S1903" i="3" s="1"/>
  <c r="C1896" i="3"/>
  <c r="B1896" i="3"/>
  <c r="L1892" i="3"/>
  <c r="S1894" i="3" s="1"/>
  <c r="C1884" i="3"/>
  <c r="B1884" i="3"/>
  <c r="L1880" i="3"/>
  <c r="S1882" i="3" s="1"/>
  <c r="C1875" i="3"/>
  <c r="B1875" i="3"/>
  <c r="L1871" i="3"/>
  <c r="S1873" i="3" s="1"/>
  <c r="C1866" i="3"/>
  <c r="B1866" i="3"/>
  <c r="L1861" i="3"/>
  <c r="S1863" i="3" s="1"/>
  <c r="C1852" i="3"/>
  <c r="B1852" i="3"/>
  <c r="L1847" i="3"/>
  <c r="S1849" i="3" s="1"/>
  <c r="C1840" i="3"/>
  <c r="B1840" i="3"/>
  <c r="L1836" i="3"/>
  <c r="S1838" i="3" s="1"/>
  <c r="B1831" i="3"/>
  <c r="L1827" i="3"/>
  <c r="S1829" i="3" s="1"/>
  <c r="C1822" i="3"/>
  <c r="B1822" i="3"/>
  <c r="L1818" i="3"/>
  <c r="S1820" i="3" s="1"/>
  <c r="S1815" i="3"/>
  <c r="S1814" i="3"/>
  <c r="S1813" i="3"/>
  <c r="C1811" i="3"/>
  <c r="B1811" i="3"/>
  <c r="L1807" i="3"/>
  <c r="S1809" i="3" s="1"/>
  <c r="N1803" i="3"/>
  <c r="C1801" i="3"/>
  <c r="B1801" i="3"/>
  <c r="L1797" i="3"/>
  <c r="S1799" i="3" s="1"/>
  <c r="O1788" i="3"/>
  <c r="O1787" i="3"/>
  <c r="O1786" i="3"/>
  <c r="O1785" i="3"/>
  <c r="O1784" i="3"/>
  <c r="C1772" i="3"/>
  <c r="B1772" i="3"/>
  <c r="L1768" i="3"/>
  <c r="S1770" i="3" s="1"/>
  <c r="K1762" i="3"/>
  <c r="K1761" i="3"/>
  <c r="K1760" i="3"/>
  <c r="K1759" i="3"/>
  <c r="K1758" i="3"/>
  <c r="K1757" i="3"/>
  <c r="F1756" i="3"/>
  <c r="D1756" i="3"/>
  <c r="F1755" i="3"/>
  <c r="D1755" i="3"/>
  <c r="K1754" i="3"/>
  <c r="K1753" i="3"/>
  <c r="K1752" i="3"/>
  <c r="C1750" i="3"/>
  <c r="B1750" i="3"/>
  <c r="L1746" i="3"/>
  <c r="S1747" i="3" s="1"/>
  <c r="C1726" i="3"/>
  <c r="B1726" i="3"/>
  <c r="L1722" i="3"/>
  <c r="S1723" i="3" s="1"/>
  <c r="C1717" i="3"/>
  <c r="B1717" i="3"/>
  <c r="L1713" i="3"/>
  <c r="S1715" i="3" s="1"/>
  <c r="J1710" i="3"/>
  <c r="J1709" i="3"/>
  <c r="I1709" i="3"/>
  <c r="G1709" i="3"/>
  <c r="F1709" i="3"/>
  <c r="D1709" i="3"/>
  <c r="F1708" i="3"/>
  <c r="D1708" i="3"/>
  <c r="K1707" i="3"/>
  <c r="K1706" i="3"/>
  <c r="V1705" i="3"/>
  <c r="K1705" i="3"/>
  <c r="V1704" i="3"/>
  <c r="K1704" i="3"/>
  <c r="V1703" i="3"/>
  <c r="V1702" i="3" s="1"/>
  <c r="V1699" i="3" s="1"/>
  <c r="V1698" i="3" s="1"/>
  <c r="K1703" i="3"/>
  <c r="K1702" i="3"/>
  <c r="K1701" i="3"/>
  <c r="K1699" i="3"/>
  <c r="K1698" i="3"/>
  <c r="C1696" i="3"/>
  <c r="B1696" i="3"/>
  <c r="L1692" i="3"/>
  <c r="S1694" i="3" s="1"/>
  <c r="K1689" i="3"/>
  <c r="K1710" i="3" s="1"/>
  <c r="K1688" i="3"/>
  <c r="K1709" i="3" s="1"/>
  <c r="V1687" i="3"/>
  <c r="F1687" i="3"/>
  <c r="D1687" i="3"/>
  <c r="V1686" i="3"/>
  <c r="K1686" i="3"/>
  <c r="K1685" i="3"/>
  <c r="K1684" i="3"/>
  <c r="K1682" i="3"/>
  <c r="K1681" i="3"/>
  <c r="K1680" i="3"/>
  <c r="K1679" i="3"/>
  <c r="K1678" i="3"/>
  <c r="C1676" i="3"/>
  <c r="B1676" i="3"/>
  <c r="L1672" i="3"/>
  <c r="S1673" i="3" s="1"/>
  <c r="K1665" i="3"/>
  <c r="C1660" i="3"/>
  <c r="B1660" i="3"/>
  <c r="L1656" i="3"/>
  <c r="S1656" i="3" s="1"/>
  <c r="V1650" i="3"/>
  <c r="C1648" i="3"/>
  <c r="B1648" i="3"/>
  <c r="L1644" i="3"/>
  <c r="S1644" i="3" s="1"/>
  <c r="C1638" i="3"/>
  <c r="B1638" i="3"/>
  <c r="L1634" i="3"/>
  <c r="S1634" i="3" s="1"/>
  <c r="C1628" i="3"/>
  <c r="B1628" i="3"/>
  <c r="L1624" i="3"/>
  <c r="S1624" i="3" s="1"/>
  <c r="C1617" i="3"/>
  <c r="B1617" i="3"/>
  <c r="L1614" i="3"/>
  <c r="S1615" i="3" s="1"/>
  <c r="C1606" i="3"/>
  <c r="B1606" i="3"/>
  <c r="L1602" i="3"/>
  <c r="S1603" i="3" s="1"/>
  <c r="V1597" i="3"/>
  <c r="V1596" i="3"/>
  <c r="V1595" i="3"/>
  <c r="V1594" i="3"/>
  <c r="V1593" i="3"/>
  <c r="V1592" i="3" s="1"/>
  <c r="C1587" i="3"/>
  <c r="B1587" i="3"/>
  <c r="L1583" i="3"/>
  <c r="S1584" i="3" s="1"/>
  <c r="C1558" i="3"/>
  <c r="B1558" i="3"/>
  <c r="L1554" i="3"/>
  <c r="S1554" i="3" s="1"/>
  <c r="N1546" i="3"/>
  <c r="N1545" i="3"/>
  <c r="N1543" i="3"/>
  <c r="N1540" i="3"/>
  <c r="N1539" i="3"/>
  <c r="C1531" i="3"/>
  <c r="B1531" i="3"/>
  <c r="L1527" i="3"/>
  <c r="S1528" i="3" s="1"/>
  <c r="C1501" i="3"/>
  <c r="B1501" i="3"/>
  <c r="L1497" i="3"/>
  <c r="S1497" i="3" s="1"/>
  <c r="K1489" i="3"/>
  <c r="J1489" i="3" s="1"/>
  <c r="D1487" i="3"/>
  <c r="C1474" i="3"/>
  <c r="B1474" i="3"/>
  <c r="L1470" i="3"/>
  <c r="S1471" i="3" s="1"/>
  <c r="C1466" i="3"/>
  <c r="B1466" i="3"/>
  <c r="L1463" i="3"/>
  <c r="S1464" i="3" s="1"/>
  <c r="F1447" i="3"/>
  <c r="D1447" i="3"/>
  <c r="F1446" i="3"/>
  <c r="D1446" i="3"/>
  <c r="C1441" i="3"/>
  <c r="B1441" i="3"/>
  <c r="L1437" i="3"/>
  <c r="S1437" i="3" s="1"/>
  <c r="O1432" i="3"/>
  <c r="O1431" i="3"/>
  <c r="O1430" i="3"/>
  <c r="O1429" i="3"/>
  <c r="F1429" i="3"/>
  <c r="D1429" i="3"/>
  <c r="V1424" i="3"/>
  <c r="V1423" i="3" s="1"/>
  <c r="C1423" i="3"/>
  <c r="B1423" i="3"/>
  <c r="L1419" i="3"/>
  <c r="S1421" i="3" s="1"/>
  <c r="V1415" i="3"/>
  <c r="V1414" i="3" s="1"/>
  <c r="C1415" i="3"/>
  <c r="B1415" i="3"/>
  <c r="C1414" i="3"/>
  <c r="B1414" i="3"/>
  <c r="L1409" i="3"/>
  <c r="S1411" i="3" s="1"/>
  <c r="C1403" i="3"/>
  <c r="B1403" i="3"/>
  <c r="L1399" i="3"/>
  <c r="S1401" i="3" s="1"/>
  <c r="K1392" i="3"/>
  <c r="J1392" i="3" s="1"/>
  <c r="F1390" i="3"/>
  <c r="D1390" i="3"/>
  <c r="K1388" i="3"/>
  <c r="Q1388" i="3" s="1"/>
  <c r="V1387" i="3"/>
  <c r="V1386" i="3"/>
  <c r="V1385" i="3"/>
  <c r="V1384" i="3" s="1"/>
  <c r="V1383" i="3" s="1"/>
  <c r="V1382" i="3" s="1"/>
  <c r="V1402" i="3" s="1"/>
  <c r="C1382" i="3"/>
  <c r="B1382" i="3"/>
  <c r="L1378" i="3"/>
  <c r="S1378" i="3" s="1"/>
  <c r="C1373" i="3"/>
  <c r="B1373" i="3"/>
  <c r="B1372" i="3"/>
  <c r="L1368" i="3"/>
  <c r="S1368" i="3" s="1"/>
  <c r="F1360" i="3"/>
  <c r="D1360" i="3"/>
  <c r="F1359" i="3"/>
  <c r="D1359" i="3"/>
  <c r="F1358" i="3"/>
  <c r="D1358" i="3"/>
  <c r="F1357" i="3"/>
  <c r="D1357" i="3"/>
  <c r="K1356" i="3"/>
  <c r="K1355" i="3"/>
  <c r="V1354" i="3"/>
  <c r="V1353" i="3" s="1"/>
  <c r="K1354" i="3"/>
  <c r="K1353" i="3"/>
  <c r="V1352" i="3"/>
  <c r="V1350" i="3" s="1"/>
  <c r="V1348" i="3" s="1"/>
  <c r="K1352" i="3"/>
  <c r="V1351" i="3"/>
  <c r="V1349" i="3" s="1"/>
  <c r="K1351" i="3"/>
  <c r="K1350" i="3"/>
  <c r="C1348" i="3"/>
  <c r="B1348" i="3"/>
  <c r="R1345" i="3"/>
  <c r="L1344" i="3"/>
  <c r="S1344" i="3" s="1"/>
  <c r="V1332" i="3"/>
  <c r="V1329" i="3"/>
  <c r="F1329" i="3"/>
  <c r="V1326" i="3"/>
  <c r="F1326" i="3"/>
  <c r="D1326" i="3"/>
  <c r="V1324" i="3"/>
  <c r="V1323" i="3"/>
  <c r="V1322" i="3" s="1"/>
  <c r="V1321" i="3"/>
  <c r="V1320" i="3" s="1"/>
  <c r="V1319" i="3" s="1"/>
  <c r="V1318" i="3" s="1"/>
  <c r="V1317" i="3" s="1"/>
  <c r="V1316" i="3" s="1"/>
  <c r="V1315" i="3" s="1"/>
  <c r="C1315" i="3"/>
  <c r="B1315" i="3"/>
  <c r="L1311" i="3"/>
  <c r="S1311" i="3" s="1"/>
  <c r="K1306" i="3"/>
  <c r="O1306" i="3" s="1"/>
  <c r="C1305" i="3"/>
  <c r="B1305" i="3"/>
  <c r="C1304" i="3"/>
  <c r="B1304" i="3"/>
  <c r="L1300" i="3"/>
  <c r="S1302" i="3" s="1"/>
  <c r="V1298" i="3"/>
  <c r="V1295" i="3"/>
  <c r="V1293" i="3"/>
  <c r="V1292" i="3" s="1"/>
  <c r="V1291" i="3" s="1"/>
  <c r="V1290" i="3" s="1"/>
  <c r="V1289" i="3" s="1"/>
  <c r="V1288" i="3" s="1"/>
  <c r="V1287" i="3" s="1"/>
  <c r="C1287" i="3"/>
  <c r="B1287" i="3"/>
  <c r="C1286" i="3"/>
  <c r="B1286" i="3"/>
  <c r="L1282" i="3"/>
  <c r="S1283" i="3" s="1"/>
  <c r="V1273" i="3"/>
  <c r="V1272" i="3" s="1"/>
  <c r="V1271" i="3" s="1"/>
  <c r="V1270" i="3" s="1"/>
  <c r="V1269" i="3" s="1"/>
  <c r="V1285" i="3" s="1"/>
  <c r="V1280" i="3" s="1"/>
  <c r="C1269" i="3"/>
  <c r="B1269" i="3"/>
  <c r="L1265" i="3"/>
  <c r="S1266" i="3" s="1"/>
  <c r="V1254" i="3"/>
  <c r="V1253" i="3" s="1"/>
  <c r="V1252" i="3" s="1"/>
  <c r="V1251" i="3" s="1"/>
  <c r="C1250" i="3"/>
  <c r="B1250" i="3"/>
  <c r="L1246" i="3"/>
  <c r="S1248" i="3" s="1"/>
  <c r="K1240" i="3"/>
  <c r="V1238" i="3"/>
  <c r="F1232" i="3"/>
  <c r="D1232" i="3"/>
  <c r="K1228" i="3"/>
  <c r="K1226" i="3"/>
  <c r="V1223" i="3"/>
  <c r="V1222" i="3" s="1"/>
  <c r="V1221" i="3" s="1"/>
  <c r="V1220" i="3" s="1"/>
  <c r="V1219" i="3" s="1"/>
  <c r="V1218" i="3" s="1"/>
  <c r="V1217" i="3" s="1"/>
  <c r="V1216" i="3" s="1"/>
  <c r="C1216" i="3"/>
  <c r="B1216" i="3"/>
  <c r="L1211" i="3"/>
  <c r="S1213" i="3" s="1"/>
  <c r="C1201" i="3"/>
  <c r="B1201" i="3"/>
  <c r="L1197" i="3"/>
  <c r="S1199" i="3" s="1"/>
  <c r="F1195" i="3"/>
  <c r="D1195" i="3"/>
  <c r="K1194" i="3"/>
  <c r="K1193" i="3"/>
  <c r="K1192" i="3"/>
  <c r="D1191" i="3"/>
  <c r="K1191" i="3" s="1"/>
  <c r="C1189" i="3"/>
  <c r="B1189" i="3"/>
  <c r="L1172" i="3"/>
  <c r="S1174" i="3" s="1"/>
  <c r="C1164" i="3"/>
  <c r="B1164" i="3"/>
  <c r="C1163" i="3"/>
  <c r="B1163" i="3"/>
  <c r="L1159" i="3"/>
  <c r="S1161" i="3" s="1"/>
  <c r="C1154" i="3"/>
  <c r="B1154" i="3"/>
  <c r="C1153" i="3"/>
  <c r="B1153" i="3"/>
  <c r="L1149" i="3"/>
  <c r="S1151" i="3" s="1"/>
  <c r="O1146" i="3"/>
  <c r="O1145" i="3"/>
  <c r="C1143" i="3"/>
  <c r="B1143" i="3"/>
  <c r="L1139" i="3"/>
  <c r="S1139" i="3" s="1"/>
  <c r="C1133" i="3"/>
  <c r="B1133" i="3"/>
  <c r="L1129" i="3"/>
  <c r="S1130" i="3" s="1"/>
  <c r="C1124" i="3"/>
  <c r="B1124" i="3"/>
  <c r="C1123" i="3"/>
  <c r="B1123" i="3"/>
  <c r="L1119" i="3"/>
  <c r="S1120" i="3" s="1"/>
  <c r="V1111" i="3"/>
  <c r="C1108" i="3"/>
  <c r="B1108" i="3"/>
  <c r="L1104" i="3"/>
  <c r="S1105" i="3" s="1"/>
  <c r="C1097" i="3"/>
  <c r="B1097" i="3"/>
  <c r="C1096" i="3"/>
  <c r="B1096" i="3"/>
  <c r="L1092" i="3"/>
  <c r="S1092" i="3" s="1"/>
  <c r="C1087" i="3"/>
  <c r="B1087" i="3"/>
  <c r="C1086" i="3"/>
  <c r="B1086" i="3"/>
  <c r="L1082" i="3"/>
  <c r="S1084" i="3" s="1"/>
  <c r="C1077" i="3"/>
  <c r="B1077" i="3"/>
  <c r="C1076" i="3"/>
  <c r="B1076" i="3"/>
  <c r="L1072" i="3"/>
  <c r="S1073" i="3" s="1"/>
  <c r="C1067" i="3"/>
  <c r="B1067" i="3"/>
  <c r="C1066" i="3"/>
  <c r="B1066" i="3"/>
  <c r="L1062" i="3"/>
  <c r="S1064" i="3" s="1"/>
  <c r="C1057" i="3"/>
  <c r="B1057" i="3"/>
  <c r="C1056" i="3"/>
  <c r="B1056" i="3"/>
  <c r="L1052" i="3"/>
  <c r="S1054" i="3" s="1"/>
  <c r="K1049" i="3"/>
  <c r="C1045" i="3"/>
  <c r="B1045" i="3"/>
  <c r="C1044" i="3"/>
  <c r="B1044" i="3"/>
  <c r="L1040" i="3"/>
  <c r="S1042" i="3" s="1"/>
  <c r="C1035" i="3"/>
  <c r="B1035" i="3"/>
  <c r="C1034" i="3"/>
  <c r="B1034" i="3"/>
  <c r="L1030" i="3"/>
  <c r="S1032" i="3" s="1"/>
  <c r="V1026" i="3"/>
  <c r="V1025" i="3" s="1"/>
  <c r="C1026" i="3"/>
  <c r="B1026" i="3"/>
  <c r="C1025" i="3"/>
  <c r="B1025" i="3"/>
  <c r="C1024" i="3"/>
  <c r="B1024" i="3"/>
  <c r="L1020" i="3"/>
  <c r="S1022" i="3" s="1"/>
  <c r="C1014" i="3"/>
  <c r="B1014" i="3"/>
  <c r="L1010" i="3"/>
  <c r="S1011" i="3" s="1"/>
  <c r="C1004" i="3"/>
  <c r="B1004" i="3"/>
  <c r="L1000" i="3"/>
  <c r="S1001" i="3" s="1"/>
  <c r="V996" i="3"/>
  <c r="V995" i="3" s="1"/>
  <c r="V994" i="3" s="1"/>
  <c r="V1003" i="3" s="1"/>
  <c r="C994" i="3"/>
  <c r="B994" i="3"/>
  <c r="L990" i="3"/>
  <c r="S990" i="3" s="1"/>
  <c r="C984" i="3"/>
  <c r="B984" i="3"/>
  <c r="C983" i="3"/>
  <c r="B983" i="3"/>
  <c r="L979" i="3"/>
  <c r="S980" i="3" s="1"/>
  <c r="F971" i="3"/>
  <c r="D971" i="3"/>
  <c r="F970" i="3"/>
  <c r="D970" i="3"/>
  <c r="K967" i="3"/>
  <c r="K966" i="3"/>
  <c r="K965" i="3"/>
  <c r="K963" i="3"/>
  <c r="C954" i="3"/>
  <c r="B954" i="3"/>
  <c r="L950" i="3"/>
  <c r="S952" i="3" s="1"/>
  <c r="C945" i="3"/>
  <c r="B945" i="3"/>
  <c r="C944" i="3"/>
  <c r="B944" i="3"/>
  <c r="L940" i="3"/>
  <c r="S942" i="3" s="1"/>
  <c r="C936" i="3"/>
  <c r="B936" i="3"/>
  <c r="C935" i="3"/>
  <c r="B935" i="3"/>
  <c r="L931" i="3"/>
  <c r="S931" i="3" s="1"/>
  <c r="S927" i="3" s="1"/>
  <c r="C926" i="3"/>
  <c r="B926" i="3"/>
  <c r="C925" i="3"/>
  <c r="B925" i="3"/>
  <c r="L921" i="3"/>
  <c r="S923" i="3" s="1"/>
  <c r="V914" i="3"/>
  <c r="V913" i="3" s="1"/>
  <c r="C914" i="3"/>
  <c r="B914" i="3"/>
  <c r="C913" i="3"/>
  <c r="B913" i="3"/>
  <c r="L909" i="3"/>
  <c r="S910" i="3" s="1"/>
  <c r="V906" i="3"/>
  <c r="V905" i="3" s="1"/>
  <c r="V904" i="3" s="1"/>
  <c r="V912" i="3" s="1"/>
  <c r="K906" i="3"/>
  <c r="C905" i="3"/>
  <c r="B905" i="3"/>
  <c r="C904" i="3"/>
  <c r="B904" i="3"/>
  <c r="L900" i="3"/>
  <c r="S900" i="3" s="1"/>
  <c r="V897" i="3"/>
  <c r="V896" i="3" s="1"/>
  <c r="V895" i="3" s="1"/>
  <c r="V894" i="3" s="1"/>
  <c r="V903" i="3" s="1"/>
  <c r="K897" i="3"/>
  <c r="C895" i="3"/>
  <c r="B895" i="3"/>
  <c r="C894" i="3"/>
  <c r="B894" i="3"/>
  <c r="L890" i="3"/>
  <c r="S892" i="3" s="1"/>
  <c r="K876" i="3"/>
  <c r="V874" i="3"/>
  <c r="V873" i="3" s="1"/>
  <c r="V872" i="3" s="1"/>
  <c r="V871" i="3" s="1"/>
  <c r="V893" i="3" s="1"/>
  <c r="V879" i="3" s="1"/>
  <c r="K873" i="3"/>
  <c r="C872" i="3"/>
  <c r="B872" i="3"/>
  <c r="C871" i="3"/>
  <c r="B871" i="3"/>
  <c r="L867" i="3"/>
  <c r="S869" i="3" s="1"/>
  <c r="V864" i="3"/>
  <c r="V851" i="3" s="1"/>
  <c r="V845" i="3" s="1"/>
  <c r="V862" i="3"/>
  <c r="V861" i="3" s="1"/>
  <c r="V848" i="3" s="1"/>
  <c r="C862" i="3"/>
  <c r="B862" i="3"/>
  <c r="C861" i="3"/>
  <c r="B861" i="3"/>
  <c r="L857" i="3"/>
  <c r="S859" i="3" s="1"/>
  <c r="V850" i="3"/>
  <c r="L849" i="3"/>
  <c r="F849" i="3"/>
  <c r="D849" i="3"/>
  <c r="C842" i="3"/>
  <c r="B842" i="3"/>
  <c r="L838" i="3"/>
  <c r="S840" i="3" s="1"/>
  <c r="V836" i="3"/>
  <c r="V834" i="3"/>
  <c r="V833" i="3" s="1"/>
  <c r="C834" i="3"/>
  <c r="B834" i="3"/>
  <c r="C833" i="3"/>
  <c r="B833" i="3"/>
  <c r="L829" i="3"/>
  <c r="S831" i="3" s="1"/>
  <c r="O823" i="3"/>
  <c r="K821" i="3"/>
  <c r="C820" i="3"/>
  <c r="B820" i="3"/>
  <c r="C819" i="3"/>
  <c r="B819" i="3"/>
  <c r="C818" i="3"/>
  <c r="B818" i="3"/>
  <c r="C817" i="3"/>
  <c r="B817" i="3"/>
  <c r="L813" i="3"/>
  <c r="S814" i="3" s="1"/>
  <c r="N796" i="3"/>
  <c r="N795" i="3"/>
  <c r="K793" i="3"/>
  <c r="C778" i="3"/>
  <c r="B778" i="3"/>
  <c r="L774" i="3"/>
  <c r="S774" i="3" s="1"/>
  <c r="C768" i="3"/>
  <c r="B768" i="3"/>
  <c r="L764" i="3"/>
  <c r="S765" i="3" s="1"/>
  <c r="C745" i="3"/>
  <c r="B745" i="3"/>
  <c r="L741" i="3"/>
  <c r="S742" i="3" s="1"/>
  <c r="C721" i="3"/>
  <c r="B721" i="3"/>
  <c r="L717" i="3"/>
  <c r="S719" i="3" s="1"/>
  <c r="V699" i="3"/>
  <c r="K698" i="3"/>
  <c r="Q698" i="3" s="1"/>
  <c r="K689" i="3"/>
  <c r="K688" i="3"/>
  <c r="V687" i="3"/>
  <c r="V683" i="3"/>
  <c r="V682" i="3" s="1"/>
  <c r="V681" i="3" s="1"/>
  <c r="V680" i="3" s="1"/>
  <c r="V720" i="3" s="1"/>
  <c r="C680" i="3"/>
  <c r="B680" i="3"/>
  <c r="L676" i="3"/>
  <c r="S677" i="3" s="1"/>
  <c r="C671" i="3"/>
  <c r="B671" i="3"/>
  <c r="C670" i="3"/>
  <c r="B670" i="3"/>
  <c r="L666" i="3"/>
  <c r="S668" i="3" s="1"/>
  <c r="K659" i="3"/>
  <c r="V658" i="3"/>
  <c r="V645" i="3" s="1"/>
  <c r="C655" i="3"/>
  <c r="B655" i="3"/>
  <c r="C654" i="3"/>
  <c r="B654" i="3"/>
  <c r="L650" i="3"/>
  <c r="S651" i="3" s="1"/>
  <c r="V640" i="3"/>
  <c r="V637" i="3"/>
  <c r="V636" i="3"/>
  <c r="V635" i="3" s="1"/>
  <c r="V634" i="3" s="1"/>
  <c r="V633" i="3" s="1"/>
  <c r="V632" i="3" s="1"/>
  <c r="C633" i="3"/>
  <c r="B633" i="3"/>
  <c r="C632" i="3"/>
  <c r="B632" i="3"/>
  <c r="L628" i="3"/>
  <c r="S630" i="3" s="1"/>
  <c r="V625" i="3"/>
  <c r="V624" i="3"/>
  <c r="V623" i="3" s="1"/>
  <c r="V622" i="3" s="1"/>
  <c r="V621" i="3" s="1"/>
  <c r="V620" i="3" s="1"/>
  <c r="V631" i="3" s="1"/>
  <c r="C621" i="3"/>
  <c r="B621" i="3"/>
  <c r="C620" i="3"/>
  <c r="B620" i="3"/>
  <c r="L616" i="3"/>
  <c r="S618" i="3" s="1"/>
  <c r="C610" i="3"/>
  <c r="B610" i="3"/>
  <c r="C609" i="3"/>
  <c r="B609" i="3"/>
  <c r="L605" i="3"/>
  <c r="S606" i="3" s="1"/>
  <c r="F600" i="3"/>
  <c r="D600" i="3"/>
  <c r="C591" i="3"/>
  <c r="B591" i="3"/>
  <c r="C590" i="3"/>
  <c r="B590" i="3"/>
  <c r="C589" i="3"/>
  <c r="B589" i="3"/>
  <c r="L585" i="3"/>
  <c r="S587" i="3" s="1"/>
  <c r="C580" i="3"/>
  <c r="B580" i="3"/>
  <c r="C579" i="3"/>
  <c r="B579" i="3"/>
  <c r="L575" i="3"/>
  <c r="S576" i="3" s="1"/>
  <c r="C570" i="3"/>
  <c r="B570" i="3"/>
  <c r="C569" i="3"/>
  <c r="B569" i="3"/>
  <c r="L565" i="3"/>
  <c r="S566" i="3" s="1"/>
  <c r="C560" i="3"/>
  <c r="B560" i="3"/>
  <c r="C559" i="3"/>
  <c r="B559" i="3"/>
  <c r="L555" i="3"/>
  <c r="S555" i="3" s="1"/>
  <c r="C550" i="3"/>
  <c r="B550" i="3"/>
  <c r="C549" i="3"/>
  <c r="B549" i="3"/>
  <c r="L545" i="3"/>
  <c r="S547" i="3" s="1"/>
  <c r="C540" i="3"/>
  <c r="B540" i="3"/>
  <c r="C539" i="3"/>
  <c r="B539" i="3"/>
  <c r="L535" i="3"/>
  <c r="S536" i="3" s="1"/>
  <c r="K529" i="3"/>
  <c r="C528" i="3"/>
  <c r="B528" i="3"/>
  <c r="C527" i="3"/>
  <c r="B527" i="3"/>
  <c r="C526" i="3"/>
  <c r="B526" i="3"/>
  <c r="L522" i="3"/>
  <c r="S523" i="3" s="1"/>
  <c r="P513" i="3"/>
  <c r="C498" i="3"/>
  <c r="B498" i="3"/>
  <c r="C497" i="3"/>
  <c r="B497" i="3"/>
  <c r="L493" i="3"/>
  <c r="S495" i="3" s="1"/>
  <c r="C483" i="3"/>
  <c r="B483" i="3"/>
  <c r="C482" i="3"/>
  <c r="B482" i="3"/>
  <c r="C481" i="3"/>
  <c r="B481" i="3"/>
  <c r="L477" i="3"/>
  <c r="S479" i="3" s="1"/>
  <c r="C472" i="3"/>
  <c r="B472" i="3"/>
  <c r="C471" i="3"/>
  <c r="B471" i="3"/>
  <c r="L467" i="3"/>
  <c r="S468" i="3" s="1"/>
  <c r="C462" i="3"/>
  <c r="B462" i="3"/>
  <c r="C461" i="3"/>
  <c r="B461" i="3"/>
  <c r="L457" i="3"/>
  <c r="S457" i="3" s="1"/>
  <c r="N454" i="3"/>
  <c r="O454" i="3" s="1"/>
  <c r="L453" i="3"/>
  <c r="C452" i="3"/>
  <c r="B452" i="3"/>
  <c r="C451" i="3"/>
  <c r="B451" i="3"/>
  <c r="L447" i="3"/>
  <c r="S448" i="3" s="1"/>
  <c r="V440" i="3"/>
  <c r="V439" i="3" s="1"/>
  <c r="V438" i="3" s="1"/>
  <c r="K440" i="3"/>
  <c r="C439" i="3"/>
  <c r="B439" i="3"/>
  <c r="C438" i="3"/>
  <c r="B438" i="3"/>
  <c r="C437" i="3"/>
  <c r="B437" i="3"/>
  <c r="L433" i="3"/>
  <c r="S434" i="3" s="1"/>
  <c r="C427" i="3"/>
  <c r="B427" i="3"/>
  <c r="C426" i="3"/>
  <c r="B426" i="3"/>
  <c r="C425" i="3"/>
  <c r="B425" i="3"/>
  <c r="L421" i="3"/>
  <c r="S423" i="3" s="1"/>
  <c r="V420" i="3"/>
  <c r="K420" i="3"/>
  <c r="V419" i="3"/>
  <c r="V418" i="3" s="1"/>
  <c r="V417" i="3" s="1"/>
  <c r="V416" i="3" s="1"/>
  <c r="V424" i="3" s="1"/>
  <c r="K419" i="3"/>
  <c r="K418" i="3"/>
  <c r="C417" i="3"/>
  <c r="B417" i="3"/>
  <c r="C416" i="3"/>
  <c r="B416" i="3"/>
  <c r="L412" i="3"/>
  <c r="S414" i="3" s="1"/>
  <c r="C401" i="3"/>
  <c r="B401" i="3"/>
  <c r="C400" i="3"/>
  <c r="B400" i="3"/>
  <c r="L396" i="3"/>
  <c r="S398" i="3" s="1"/>
  <c r="C390" i="3"/>
  <c r="B390" i="3"/>
  <c r="C389" i="3"/>
  <c r="B389" i="3"/>
  <c r="L385" i="3"/>
  <c r="S386" i="3" s="1"/>
  <c r="V375" i="3"/>
  <c r="V374" i="3" s="1"/>
  <c r="C375" i="3"/>
  <c r="B375" i="3"/>
  <c r="C374" i="3"/>
  <c r="B374" i="3"/>
  <c r="L370" i="3"/>
  <c r="S372" i="3" s="1"/>
  <c r="C362" i="3"/>
  <c r="B362" i="3"/>
  <c r="C361" i="3"/>
  <c r="B361" i="3"/>
  <c r="L357" i="3"/>
  <c r="S357" i="3" s="1"/>
  <c r="K346" i="3"/>
  <c r="K342" i="3"/>
  <c r="K341" i="3"/>
  <c r="C340" i="3"/>
  <c r="B340" i="3"/>
  <c r="C339" i="3"/>
  <c r="B339" i="3"/>
  <c r="L335" i="3"/>
  <c r="S337" i="3" s="1"/>
  <c r="C330" i="3"/>
  <c r="B330" i="3"/>
  <c r="C329" i="3"/>
  <c r="B329" i="3"/>
  <c r="L325" i="3"/>
  <c r="S327" i="3" s="1"/>
  <c r="V313" i="3"/>
  <c r="V312" i="3" s="1"/>
  <c r="C313" i="3"/>
  <c r="B313" i="3"/>
  <c r="C312" i="3"/>
  <c r="B312" i="3"/>
  <c r="C311" i="3"/>
  <c r="B311" i="3"/>
  <c r="C310" i="3"/>
  <c r="B310" i="3"/>
  <c r="L306" i="3"/>
  <c r="S307" i="3" s="1"/>
  <c r="V279" i="3"/>
  <c r="V278" i="3"/>
  <c r="V277" i="3"/>
  <c r="V276" i="3"/>
  <c r="V275" i="3"/>
  <c r="V274" i="3" s="1"/>
  <c r="V273" i="3" s="1"/>
  <c r="V272" i="3" s="1"/>
  <c r="V271" i="3" s="1"/>
  <c r="C271" i="3"/>
  <c r="B271" i="3"/>
  <c r="L267" i="3"/>
  <c r="S268" i="3" s="1"/>
  <c r="V240" i="3"/>
  <c r="V239" i="3"/>
  <c r="V238" i="3"/>
  <c r="V237" i="3"/>
  <c r="V236" i="3"/>
  <c r="V235" i="3" s="1"/>
  <c r="V234" i="3" s="1"/>
  <c r="V233" i="3" s="1"/>
  <c r="V232" i="3" s="1"/>
  <c r="C232" i="3"/>
  <c r="B232" i="3"/>
  <c r="L228" i="3"/>
  <c r="S229" i="3" s="1"/>
  <c r="T214" i="3"/>
  <c r="V184" i="3"/>
  <c r="V183" i="3"/>
  <c r="V182" i="3"/>
  <c r="V181" i="3"/>
  <c r="V180" i="3"/>
  <c r="V179" i="3" s="1"/>
  <c r="V178" i="3" s="1"/>
  <c r="V177" i="3" s="1"/>
  <c r="V176" i="3" s="1"/>
  <c r="V231" i="3" s="1"/>
  <c r="C176" i="3"/>
  <c r="B176" i="3"/>
  <c r="U174" i="3"/>
  <c r="U179" i="3" s="1"/>
  <c r="L172" i="3"/>
  <c r="S173" i="3" s="1"/>
  <c r="J164" i="3"/>
  <c r="J215" i="3" s="1"/>
  <c r="G164" i="3"/>
  <c r="D164" i="3"/>
  <c r="D215" i="3" s="1"/>
  <c r="J163" i="3"/>
  <c r="J214" i="3" s="1"/>
  <c r="J258" i="3" s="1"/>
  <c r="J297" i="3" s="1"/>
  <c r="G163" i="3"/>
  <c r="G214" i="3" s="1"/>
  <c r="D163" i="3"/>
  <c r="D214" i="3" s="1"/>
  <c r="J162" i="3"/>
  <c r="J213" i="3" s="1"/>
  <c r="J257" i="3" s="1"/>
  <c r="J296" i="3" s="1"/>
  <c r="G162" i="3"/>
  <c r="G213" i="3" s="1"/>
  <c r="G257" i="3" s="1"/>
  <c r="G296" i="3" s="1"/>
  <c r="D162" i="3"/>
  <c r="D213" i="3" s="1"/>
  <c r="J161" i="3"/>
  <c r="J212" i="3" s="1"/>
  <c r="J256" i="3" s="1"/>
  <c r="J295" i="3" s="1"/>
  <c r="G161" i="3"/>
  <c r="G212" i="3" s="1"/>
  <c r="G256" i="3" s="1"/>
  <c r="G295" i="3" s="1"/>
  <c r="D161" i="3"/>
  <c r="D212" i="3" s="1"/>
  <c r="J160" i="3"/>
  <c r="J211" i="3" s="1"/>
  <c r="J255" i="3" s="1"/>
  <c r="J294" i="3" s="1"/>
  <c r="G160" i="3"/>
  <c r="G211" i="3" s="1"/>
  <c r="G255" i="3" s="1"/>
  <c r="G294" i="3" s="1"/>
  <c r="D160" i="3"/>
  <c r="D211" i="3" s="1"/>
  <c r="J159" i="3"/>
  <c r="J210" i="3" s="1"/>
  <c r="J254" i="3" s="1"/>
  <c r="J293" i="3" s="1"/>
  <c r="G159" i="3"/>
  <c r="G210" i="3" s="1"/>
  <c r="G254" i="3" s="1"/>
  <c r="G293" i="3" s="1"/>
  <c r="D159" i="3"/>
  <c r="D210" i="3" s="1"/>
  <c r="C137" i="3"/>
  <c r="B137" i="3"/>
  <c r="L133" i="3"/>
  <c r="S134" i="3" s="1"/>
  <c r="V106" i="3"/>
  <c r="V105" i="3"/>
  <c r="V104" i="3"/>
  <c r="V103" i="3"/>
  <c r="V102" i="3"/>
  <c r="V101" i="3" s="1"/>
  <c r="V100" i="3" s="1"/>
  <c r="V99" i="3" s="1"/>
  <c r="V98" i="3" s="1"/>
  <c r="C98" i="3"/>
  <c r="B98" i="3"/>
  <c r="L94" i="3"/>
  <c r="S95" i="3" s="1"/>
  <c r="V89" i="3"/>
  <c r="V88" i="3" s="1"/>
  <c r="V87" i="3" s="1"/>
  <c r="C88" i="3"/>
  <c r="B88" i="3"/>
  <c r="C87" i="3"/>
  <c r="B87" i="3"/>
  <c r="C86" i="3"/>
  <c r="B86" i="3"/>
  <c r="L82" i="3"/>
  <c r="S83" i="3" s="1"/>
  <c r="C77" i="3"/>
  <c r="B77" i="3"/>
  <c r="C76" i="3"/>
  <c r="B76" i="3"/>
  <c r="L72" i="3"/>
  <c r="S72" i="3" s="1"/>
  <c r="C67" i="3"/>
  <c r="B67" i="3"/>
  <c r="C66" i="3"/>
  <c r="B66" i="3"/>
  <c r="L62" i="3"/>
  <c r="S64" i="3" s="1"/>
  <c r="C57" i="3"/>
  <c r="B57" i="3"/>
  <c r="C56" i="3"/>
  <c r="B56" i="3"/>
  <c r="L52" i="3"/>
  <c r="S54" i="3" s="1"/>
  <c r="C47" i="3"/>
  <c r="B47" i="3"/>
  <c r="C46" i="3"/>
  <c r="B46" i="3"/>
  <c r="L42" i="3"/>
  <c r="S44" i="3" s="1"/>
  <c r="V37" i="3"/>
  <c r="V36" i="3" s="1"/>
  <c r="V35" i="3" s="1"/>
  <c r="C36" i="3"/>
  <c r="B36" i="3"/>
  <c r="C35" i="3"/>
  <c r="B35" i="3"/>
  <c r="L31" i="3"/>
  <c r="S33" i="3" s="1"/>
  <c r="V27" i="3"/>
  <c r="V26" i="3" s="1"/>
  <c r="V25" i="3" s="1"/>
  <c r="C26" i="3"/>
  <c r="B26" i="3"/>
  <c r="C25" i="3"/>
  <c r="B25" i="3"/>
  <c r="L21" i="3"/>
  <c r="S21" i="3" s="1"/>
  <c r="C16" i="3"/>
  <c r="C15" i="3"/>
  <c r="B15" i="3"/>
  <c r="C14" i="3"/>
  <c r="B14" i="3"/>
  <c r="C13" i="3"/>
  <c r="B13" i="3"/>
  <c r="C9" i="3"/>
  <c r="C8" i="3"/>
  <c r="C7" i="3"/>
  <c r="C6" i="3"/>
  <c r="AD319" i="2"/>
  <c r="Y155" i="2"/>
  <c r="U155" i="2"/>
  <c r="AD154" i="2"/>
  <c r="AE154" i="2" s="1"/>
  <c r="Y154" i="2"/>
  <c r="U154" i="2"/>
  <c r="Y153" i="2"/>
  <c r="U153" i="2"/>
  <c r="G153" i="2"/>
  <c r="W153" i="2" s="1"/>
  <c r="AD152" i="2"/>
  <c r="J1892" i="3" s="1"/>
  <c r="Y152" i="2"/>
  <c r="U152" i="2"/>
  <c r="Y151" i="2"/>
  <c r="U151" i="2"/>
  <c r="Y150" i="2"/>
  <c r="U150" i="2"/>
  <c r="Y149" i="2"/>
  <c r="U149" i="2"/>
  <c r="AD148" i="2"/>
  <c r="F148" i="2" s="1"/>
  <c r="G148" i="2" s="1"/>
  <c r="W148" i="2" s="1"/>
  <c r="Y148" i="2"/>
  <c r="U148" i="2"/>
  <c r="Y147" i="2"/>
  <c r="U147" i="2"/>
  <c r="Y146" i="2"/>
  <c r="U146" i="2"/>
  <c r="Y145" i="2"/>
  <c r="U145" i="2"/>
  <c r="F144" i="2"/>
  <c r="G144" i="2" s="1"/>
  <c r="W144" i="2" s="1"/>
  <c r="Y144" i="2"/>
  <c r="U144" i="2"/>
  <c r="S144" i="2"/>
  <c r="M144" i="2"/>
  <c r="Y143" i="2"/>
  <c r="S143" i="2"/>
  <c r="M143" i="2"/>
  <c r="AD142" i="2"/>
  <c r="AE142" i="2" s="1"/>
  <c r="Y142" i="2"/>
  <c r="S142" i="2"/>
  <c r="M142" i="2"/>
  <c r="AD141" i="2"/>
  <c r="F141" i="2" s="1"/>
  <c r="G141" i="2" s="1"/>
  <c r="Y141" i="2"/>
  <c r="S141" i="2"/>
  <c r="M141" i="2"/>
  <c r="Y140" i="2"/>
  <c r="S140" i="2"/>
  <c r="M140" i="2"/>
  <c r="Y139" i="2"/>
  <c r="S139" i="2"/>
  <c r="M139" i="2"/>
  <c r="Y138" i="2"/>
  <c r="S138" i="2"/>
  <c r="M138" i="2"/>
  <c r="AD137" i="2"/>
  <c r="AE137" i="2" s="1"/>
  <c r="Y137" i="2"/>
  <c r="S137" i="2"/>
  <c r="M137" i="2"/>
  <c r="Y136" i="2"/>
  <c r="S136" i="2"/>
  <c r="M136" i="2"/>
  <c r="Y135" i="2"/>
  <c r="S135" i="2"/>
  <c r="M135" i="2"/>
  <c r="Y134" i="2"/>
  <c r="U134" i="2"/>
  <c r="S134" i="2"/>
  <c r="M134" i="2"/>
  <c r="Y133" i="2"/>
  <c r="U133" i="2"/>
  <c r="S133" i="2"/>
  <c r="M133" i="2"/>
  <c r="AD132" i="2"/>
  <c r="J1614" i="3" s="1"/>
  <c r="Y132" i="2"/>
  <c r="U132" i="2"/>
  <c r="S132" i="2"/>
  <c r="M132" i="2"/>
  <c r="AD131" i="2"/>
  <c r="F131" i="2" s="1"/>
  <c r="G131" i="2" s="1"/>
  <c r="W131" i="2" s="1"/>
  <c r="Y131" i="2"/>
  <c r="U131" i="2"/>
  <c r="S131" i="2"/>
  <c r="M131" i="2"/>
  <c r="AD130" i="2"/>
  <c r="AE130" i="2" s="1"/>
  <c r="Y130" i="2"/>
  <c r="U130" i="2"/>
  <c r="S130" i="2"/>
  <c r="M130" i="2"/>
  <c r="AD129" i="2"/>
  <c r="J1554" i="3" s="1"/>
  <c r="Y129" i="2"/>
  <c r="U129" i="2"/>
  <c r="S129" i="2"/>
  <c r="M129" i="2"/>
  <c r="Y128" i="2"/>
  <c r="U128" i="2"/>
  <c r="S128" i="2"/>
  <c r="M128" i="2"/>
  <c r="AD127" i="2"/>
  <c r="F127" i="2" s="1"/>
  <c r="G127" i="2" s="1"/>
  <c r="W127" i="2" s="1"/>
  <c r="J1497" i="3"/>
  <c r="Y127" i="2"/>
  <c r="U127" i="2"/>
  <c r="S127" i="2"/>
  <c r="M127" i="2"/>
  <c r="Y126" i="2"/>
  <c r="U126" i="2"/>
  <c r="S126" i="2"/>
  <c r="M126" i="2"/>
  <c r="AD125" i="2"/>
  <c r="F125" i="2" s="1"/>
  <c r="G125" i="2" s="1"/>
  <c r="W125" i="2" s="1"/>
  <c r="J1463" i="3"/>
  <c r="Y125" i="2"/>
  <c r="U125" i="2"/>
  <c r="S125" i="2"/>
  <c r="M125" i="2"/>
  <c r="Y124" i="2"/>
  <c r="U124" i="2"/>
  <c r="S124" i="2"/>
  <c r="M124" i="2"/>
  <c r="Y123" i="2"/>
  <c r="U123" i="2"/>
  <c r="S123" i="2"/>
  <c r="M123" i="2"/>
  <c r="Y120" i="2"/>
  <c r="S120" i="2"/>
  <c r="M120" i="2"/>
  <c r="K120" i="2"/>
  <c r="G120" i="2"/>
  <c r="Y119" i="2"/>
  <c r="S119" i="2"/>
  <c r="M119" i="2"/>
  <c r="K119" i="2"/>
  <c r="G119" i="2"/>
  <c r="Y118" i="2"/>
  <c r="S118" i="2"/>
  <c r="M118" i="2"/>
  <c r="K118" i="2"/>
  <c r="G118" i="2"/>
  <c r="AD117" i="2"/>
  <c r="AE117" i="2" s="1"/>
  <c r="J1368" i="3"/>
  <c r="Y117" i="2"/>
  <c r="S117" i="2"/>
  <c r="M117" i="2"/>
  <c r="K117" i="2"/>
  <c r="G117" i="2"/>
  <c r="Y116" i="2"/>
  <c r="S116" i="2"/>
  <c r="M116" i="2"/>
  <c r="K116" i="2"/>
  <c r="G116" i="2"/>
  <c r="Y115" i="2"/>
  <c r="S115" i="2"/>
  <c r="M115" i="2"/>
  <c r="K115" i="2"/>
  <c r="G115" i="2"/>
  <c r="Y114" i="2"/>
  <c r="S114" i="2"/>
  <c r="M114" i="2"/>
  <c r="K114" i="2"/>
  <c r="G114" i="2"/>
  <c r="Y113" i="2"/>
  <c r="S113" i="2"/>
  <c r="M113" i="2"/>
  <c r="K113" i="2"/>
  <c r="G113" i="2"/>
  <c r="Y112" i="2"/>
  <c r="S112" i="2"/>
  <c r="M112" i="2"/>
  <c r="K112" i="2"/>
  <c r="G112" i="2"/>
  <c r="Y111" i="2"/>
  <c r="S111" i="2"/>
  <c r="M111" i="2"/>
  <c r="K111" i="2"/>
  <c r="G111" i="2"/>
  <c r="Y110" i="2"/>
  <c r="S110" i="2"/>
  <c r="M110" i="2"/>
  <c r="K110" i="2"/>
  <c r="G110" i="2"/>
  <c r="Y109" i="2"/>
  <c r="S109" i="2"/>
  <c r="M109" i="2"/>
  <c r="K109" i="2"/>
  <c r="G109" i="2"/>
  <c r="J1172" i="3"/>
  <c r="Y107" i="2"/>
  <c r="S107" i="2"/>
  <c r="M107" i="2"/>
  <c r="K107" i="2"/>
  <c r="G107" i="2"/>
  <c r="U106" i="2"/>
  <c r="Q106" i="2"/>
  <c r="O106" i="2"/>
  <c r="Y105" i="2"/>
  <c r="S105" i="2"/>
  <c r="M105" i="2"/>
  <c r="K105" i="2"/>
  <c r="G105" i="2"/>
  <c r="Y104" i="2"/>
  <c r="S104" i="2"/>
  <c r="M104" i="2"/>
  <c r="K104" i="2"/>
  <c r="G104" i="2"/>
  <c r="Y103" i="2"/>
  <c r="S103" i="2"/>
  <c r="M103" i="2"/>
  <c r="K103" i="2"/>
  <c r="G103" i="2"/>
  <c r="Y102" i="2"/>
  <c r="S102" i="2"/>
  <c r="M102" i="2"/>
  <c r="K102" i="2"/>
  <c r="G102" i="2"/>
  <c r="AD101" i="2"/>
  <c r="AE101" i="2" s="1"/>
  <c r="Y101" i="2"/>
  <c r="S101" i="2"/>
  <c r="M101" i="2"/>
  <c r="K101" i="2"/>
  <c r="G101" i="2"/>
  <c r="Y100" i="2"/>
  <c r="S100" i="2"/>
  <c r="M100" i="2"/>
  <c r="K100" i="2"/>
  <c r="G100" i="2"/>
  <c r="U99" i="2"/>
  <c r="R99" i="2"/>
  <c r="Q99" i="2"/>
  <c r="P99" i="2"/>
  <c r="O99" i="2"/>
  <c r="N99" i="2"/>
  <c r="L99" i="2"/>
  <c r="Y98" i="2"/>
  <c r="S98" i="2"/>
  <c r="M98" i="2"/>
  <c r="K98" i="2"/>
  <c r="G98" i="2"/>
  <c r="Y97" i="2"/>
  <c r="S97" i="2"/>
  <c r="M97" i="2"/>
  <c r="K97" i="2"/>
  <c r="G97" i="2"/>
  <c r="Y96" i="2"/>
  <c r="S96" i="2"/>
  <c r="M96" i="2"/>
  <c r="K96" i="2"/>
  <c r="G96" i="2"/>
  <c r="Y95" i="2"/>
  <c r="S95" i="2"/>
  <c r="M95" i="2"/>
  <c r="K95" i="2"/>
  <c r="G95" i="2"/>
  <c r="Y94" i="2"/>
  <c r="S94" i="2"/>
  <c r="M94" i="2"/>
  <c r="K94" i="2"/>
  <c r="G94" i="2"/>
  <c r="Y93" i="2"/>
  <c r="S93" i="2"/>
  <c r="M93" i="2"/>
  <c r="K93" i="2"/>
  <c r="G93" i="2"/>
  <c r="Y92" i="2"/>
  <c r="S92" i="2"/>
  <c r="M92" i="2"/>
  <c r="K92" i="2"/>
  <c r="G92" i="2"/>
  <c r="Y91" i="2"/>
  <c r="Y90" i="2"/>
  <c r="S90" i="2"/>
  <c r="M90" i="2"/>
  <c r="K90" i="2"/>
  <c r="G90" i="2"/>
  <c r="Y89" i="2"/>
  <c r="S89" i="2"/>
  <c r="M89" i="2"/>
  <c r="K89" i="2"/>
  <c r="G89" i="2"/>
  <c r="Y88" i="2"/>
  <c r="S88" i="2"/>
  <c r="M88" i="2"/>
  <c r="K88" i="2"/>
  <c r="G88" i="2"/>
  <c r="Y87" i="2"/>
  <c r="S87" i="2"/>
  <c r="M87" i="2"/>
  <c r="K87" i="2"/>
  <c r="G87" i="2"/>
  <c r="Y86" i="2"/>
  <c r="Y85" i="2"/>
  <c r="S85" i="2"/>
  <c r="M85" i="2"/>
  <c r="K85" i="2"/>
  <c r="G85" i="2"/>
  <c r="Y84" i="2"/>
  <c r="S84" i="2"/>
  <c r="M84" i="2"/>
  <c r="K84" i="2"/>
  <c r="G84" i="2"/>
  <c r="Y83" i="2"/>
  <c r="S83" i="2"/>
  <c r="M83" i="2"/>
  <c r="K83" i="2"/>
  <c r="G83" i="2"/>
  <c r="Y82" i="2"/>
  <c r="S82" i="2"/>
  <c r="M82" i="2"/>
  <c r="K82" i="2"/>
  <c r="G82" i="2"/>
  <c r="AD81" i="2"/>
  <c r="J921" i="3" s="1"/>
  <c r="Y81" i="2"/>
  <c r="S81" i="2"/>
  <c r="M81" i="2"/>
  <c r="K81" i="2"/>
  <c r="G81" i="2"/>
  <c r="Y80" i="2"/>
  <c r="S80" i="2"/>
  <c r="M80" i="2"/>
  <c r="K80" i="2"/>
  <c r="G80" i="2"/>
  <c r="Y79" i="2"/>
  <c r="S79" i="2"/>
  <c r="M79" i="2"/>
  <c r="K79" i="2"/>
  <c r="G79" i="2"/>
  <c r="AD78" i="2"/>
  <c r="J890" i="3" s="1"/>
  <c r="Y78" i="2"/>
  <c r="S78" i="2"/>
  <c r="M78" i="2"/>
  <c r="K78" i="2"/>
  <c r="G78" i="2"/>
  <c r="Y77" i="2"/>
  <c r="S77" i="2"/>
  <c r="M77" i="2"/>
  <c r="K77" i="2"/>
  <c r="G77" i="2"/>
  <c r="AD76" i="2"/>
  <c r="J857" i="3" s="1"/>
  <c r="Y76" i="2"/>
  <c r="M76" i="2"/>
  <c r="K76" i="2"/>
  <c r="G76" i="2"/>
  <c r="Y75" i="2"/>
  <c r="S75" i="2"/>
  <c r="M75" i="2"/>
  <c r="K75" i="2"/>
  <c r="G75" i="2"/>
  <c r="J829" i="3"/>
  <c r="Y74" i="2"/>
  <c r="S74" i="2"/>
  <c r="M74" i="2"/>
  <c r="K74" i="2"/>
  <c r="G74" i="2"/>
  <c r="U73" i="2"/>
  <c r="Q73" i="2"/>
  <c r="O73" i="2"/>
  <c r="N73" i="2"/>
  <c r="AD70" i="2"/>
  <c r="J813" i="3" s="1"/>
  <c r="Y70" i="2"/>
  <c r="S70" i="2"/>
  <c r="M70" i="2"/>
  <c r="K70" i="2"/>
  <c r="G70" i="2"/>
  <c r="Y69" i="2"/>
  <c r="S69" i="2"/>
  <c r="M69" i="2"/>
  <c r="K69" i="2"/>
  <c r="G69" i="2"/>
  <c r="Y68" i="2"/>
  <c r="S68" i="2"/>
  <c r="M68" i="2"/>
  <c r="K68" i="2"/>
  <c r="G68" i="2"/>
  <c r="AD67" i="2"/>
  <c r="J741" i="3" s="1"/>
  <c r="Y67" i="2"/>
  <c r="S67" i="2"/>
  <c r="M67" i="2"/>
  <c r="K67" i="2"/>
  <c r="G67" i="2"/>
  <c r="AD66" i="2"/>
  <c r="J717" i="3" s="1"/>
  <c r="Y66" i="2"/>
  <c r="S66" i="2"/>
  <c r="M66" i="2"/>
  <c r="K66" i="2"/>
  <c r="G66" i="2"/>
  <c r="Y65" i="2"/>
  <c r="S65" i="2"/>
  <c r="M65" i="2"/>
  <c r="K65" i="2"/>
  <c r="G65" i="2"/>
  <c r="AD64" i="2"/>
  <c r="J666" i="3" s="1"/>
  <c r="Y64" i="2"/>
  <c r="S64" i="2"/>
  <c r="M64" i="2"/>
  <c r="K64" i="2"/>
  <c r="G64" i="2"/>
  <c r="AD63" i="2"/>
  <c r="J650" i="3" s="1"/>
  <c r="Y63" i="2"/>
  <c r="S63" i="2"/>
  <c r="M63" i="2"/>
  <c r="K63" i="2"/>
  <c r="G63" i="2"/>
  <c r="AE62" i="2"/>
  <c r="Y62" i="2"/>
  <c r="S62" i="2"/>
  <c r="M62" i="2"/>
  <c r="K62" i="2"/>
  <c r="G62" i="2"/>
  <c r="Y61" i="2"/>
  <c r="S61" i="2"/>
  <c r="M61" i="2"/>
  <c r="K61" i="2"/>
  <c r="G61" i="2"/>
  <c r="Y60" i="2"/>
  <c r="S60" i="2"/>
  <c r="M60" i="2"/>
  <c r="K60" i="2"/>
  <c r="G60" i="2"/>
  <c r="X59" i="2"/>
  <c r="U59" i="2"/>
  <c r="T59" i="2"/>
  <c r="R59" i="2"/>
  <c r="Q59" i="2"/>
  <c r="P59" i="2"/>
  <c r="O59" i="2"/>
  <c r="N59" i="2"/>
  <c r="L59" i="2"/>
  <c r="J59" i="2"/>
  <c r="AE58" i="2"/>
  <c r="Y58" i="2"/>
  <c r="S58" i="2"/>
  <c r="M58" i="2"/>
  <c r="K58" i="2"/>
  <c r="I58" i="2"/>
  <c r="G58" i="2"/>
  <c r="Y57" i="2"/>
  <c r="S57" i="2"/>
  <c r="M57" i="2"/>
  <c r="K57" i="2"/>
  <c r="I57" i="2"/>
  <c r="G57" i="2"/>
  <c r="Y56" i="2"/>
  <c r="S56" i="2"/>
  <c r="M56" i="2"/>
  <c r="K56" i="2"/>
  <c r="I56" i="2"/>
  <c r="G56" i="2"/>
  <c r="AE55" i="2"/>
  <c r="Y55" i="2"/>
  <c r="S55" i="2"/>
  <c r="M55" i="2"/>
  <c r="K55" i="2"/>
  <c r="I55" i="2"/>
  <c r="G55" i="2"/>
  <c r="Y54" i="2"/>
  <c r="S54" i="2"/>
  <c r="M54" i="2"/>
  <c r="K54" i="2"/>
  <c r="I54" i="2"/>
  <c r="G54" i="2"/>
  <c r="Y53" i="2"/>
  <c r="S53" i="2"/>
  <c r="M53" i="2"/>
  <c r="K53" i="2"/>
  <c r="I53" i="2"/>
  <c r="G53" i="2"/>
  <c r="U52" i="2"/>
  <c r="U49" i="2" s="1"/>
  <c r="R52" i="2"/>
  <c r="R49" i="2"/>
  <c r="Q52" i="2"/>
  <c r="Q49" i="2"/>
  <c r="P52" i="2"/>
  <c r="P49" i="2" s="1"/>
  <c r="O52" i="2"/>
  <c r="O49" i="2" s="1"/>
  <c r="N52" i="2"/>
  <c r="N49" i="2" s="1"/>
  <c r="L52" i="2"/>
  <c r="L49" i="2" s="1"/>
  <c r="J52" i="2"/>
  <c r="J49" i="2" s="1"/>
  <c r="AD51" i="2"/>
  <c r="AE51" i="2" s="1"/>
  <c r="Y51" i="2"/>
  <c r="S51" i="2"/>
  <c r="M51" i="2"/>
  <c r="K51" i="2"/>
  <c r="G51" i="2"/>
  <c r="Y50" i="2"/>
  <c r="S50" i="2"/>
  <c r="M50" i="2"/>
  <c r="K50" i="2"/>
  <c r="G50" i="2"/>
  <c r="T49" i="2"/>
  <c r="J477" i="3"/>
  <c r="Y48" i="2"/>
  <c r="S48" i="2"/>
  <c r="M48" i="2"/>
  <c r="K48" i="2"/>
  <c r="G48" i="2"/>
  <c r="Y47" i="2"/>
  <c r="S47" i="2"/>
  <c r="M47" i="2"/>
  <c r="K47" i="2"/>
  <c r="G47" i="2"/>
  <c r="Y46" i="2"/>
  <c r="S46" i="2"/>
  <c r="M46" i="2"/>
  <c r="K46" i="2"/>
  <c r="G46" i="2"/>
  <c r="AD45" i="2"/>
  <c r="J447" i="3" s="1"/>
  <c r="Y45" i="2"/>
  <c r="S45" i="2"/>
  <c r="M45" i="2"/>
  <c r="K45" i="2"/>
  <c r="G45" i="2"/>
  <c r="U44" i="2"/>
  <c r="T44" i="2"/>
  <c r="R44" i="2"/>
  <c r="Q44" i="2"/>
  <c r="P44" i="2"/>
  <c r="O44" i="2"/>
  <c r="N44" i="2"/>
  <c r="L44" i="2"/>
  <c r="J433" i="3"/>
  <c r="Y43" i="2"/>
  <c r="Y42" i="2" s="1"/>
  <c r="S43" i="2"/>
  <c r="S42" i="2"/>
  <c r="M43" i="2"/>
  <c r="M42" i="2" s="1"/>
  <c r="K43" i="2"/>
  <c r="K42" i="2"/>
  <c r="I43" i="2"/>
  <c r="I42" i="2" s="1"/>
  <c r="G43" i="2"/>
  <c r="G42" i="2" s="1"/>
  <c r="U42" i="2"/>
  <c r="Q42" i="2"/>
  <c r="O42" i="2"/>
  <c r="L42" i="2"/>
  <c r="J42" i="2"/>
  <c r="Y41" i="2"/>
  <c r="S41" i="2"/>
  <c r="M41" i="2"/>
  <c r="K41" i="2"/>
  <c r="I41" i="2"/>
  <c r="G41" i="2"/>
  <c r="Y40" i="2"/>
  <c r="S40" i="2"/>
  <c r="M40" i="2"/>
  <c r="K40" i="2"/>
  <c r="I40" i="2"/>
  <c r="G40" i="2"/>
  <c r="Y39" i="2"/>
  <c r="S39" i="2"/>
  <c r="M39" i="2"/>
  <c r="K39" i="2"/>
  <c r="I39" i="2"/>
  <c r="G39" i="2"/>
  <c r="AD38" i="2"/>
  <c r="J385" i="3" s="1"/>
  <c r="Y38" i="2"/>
  <c r="S38" i="2"/>
  <c r="M38" i="2"/>
  <c r="K38" i="2"/>
  <c r="I38" i="2"/>
  <c r="G38" i="2"/>
  <c r="Y37" i="2"/>
  <c r="S37" i="2"/>
  <c r="M37" i="2"/>
  <c r="K37" i="2"/>
  <c r="I37" i="2"/>
  <c r="G37" i="2"/>
  <c r="Y36" i="2"/>
  <c r="S36" i="2"/>
  <c r="M36" i="2"/>
  <c r="K36" i="2"/>
  <c r="I36" i="2"/>
  <c r="G36" i="2"/>
  <c r="Y35" i="2"/>
  <c r="S35" i="2"/>
  <c r="M35" i="2"/>
  <c r="K35" i="2"/>
  <c r="I35" i="2"/>
  <c r="G35" i="2"/>
  <c r="AD34" i="2"/>
  <c r="J325" i="3" s="1"/>
  <c r="Y34" i="2"/>
  <c r="S34" i="2"/>
  <c r="M34" i="2"/>
  <c r="K34" i="2"/>
  <c r="I34" i="2"/>
  <c r="G34" i="2"/>
  <c r="X33" i="2"/>
  <c r="U33" i="2"/>
  <c r="T33" i="2"/>
  <c r="R33" i="2"/>
  <c r="Q33" i="2"/>
  <c r="P33" i="2"/>
  <c r="O33" i="2"/>
  <c r="N33" i="2"/>
  <c r="L33" i="2"/>
  <c r="J33" i="2"/>
  <c r="H33" i="2"/>
  <c r="AD30" i="2"/>
  <c r="J306" i="3" s="1"/>
  <c r="Y30" i="2"/>
  <c r="S30" i="2"/>
  <c r="M30" i="2"/>
  <c r="K30" i="2"/>
  <c r="I30" i="2"/>
  <c r="G30" i="2"/>
  <c r="AD29" i="2"/>
  <c r="J267" i="3" s="1"/>
  <c r="Y29" i="2"/>
  <c r="S29" i="2"/>
  <c r="K29" i="2"/>
  <c r="I29" i="2"/>
  <c r="G29" i="2"/>
  <c r="AD28" i="2"/>
  <c r="AE28" i="2" s="1"/>
  <c r="J228" i="3"/>
  <c r="Y28" i="2"/>
  <c r="S28" i="2"/>
  <c r="K28" i="2"/>
  <c r="I28" i="2"/>
  <c r="G28" i="2"/>
  <c r="AD27" i="2"/>
  <c r="J172" i="3" s="1"/>
  <c r="Y27" i="2"/>
  <c r="S27" i="2"/>
  <c r="K27" i="2"/>
  <c r="I27" i="2"/>
  <c r="G27" i="2"/>
  <c r="AD26" i="2"/>
  <c r="J133" i="3" s="1"/>
  <c r="Y26" i="2"/>
  <c r="S26" i="2"/>
  <c r="K26" i="2"/>
  <c r="I26" i="2"/>
  <c r="G26" i="2"/>
  <c r="Y25" i="2"/>
  <c r="M25" i="2"/>
  <c r="K25" i="2"/>
  <c r="G25" i="2"/>
  <c r="O25" i="2" s="1"/>
  <c r="O24" i="2" s="1"/>
  <c r="U24" i="2"/>
  <c r="T24" i="2"/>
  <c r="Y23" i="2"/>
  <c r="S23" i="2"/>
  <c r="M23" i="2"/>
  <c r="K23" i="2"/>
  <c r="I23" i="2"/>
  <c r="G23" i="2"/>
  <c r="Y22" i="2"/>
  <c r="S22" i="2"/>
  <c r="M22" i="2"/>
  <c r="K22" i="2"/>
  <c r="I22" i="2"/>
  <c r="G22" i="2"/>
  <c r="Y21" i="2"/>
  <c r="S21" i="2"/>
  <c r="M21" i="2"/>
  <c r="K21" i="2"/>
  <c r="I21" i="2"/>
  <c r="G21" i="2"/>
  <c r="Y20" i="2"/>
  <c r="S20" i="2"/>
  <c r="M20" i="2"/>
  <c r="K20" i="2"/>
  <c r="I20" i="2"/>
  <c r="G20" i="2"/>
  <c r="Y19" i="2"/>
  <c r="S19" i="2"/>
  <c r="M19" i="2"/>
  <c r="K19" i="2"/>
  <c r="I19" i="2"/>
  <c r="G19" i="2"/>
  <c r="Y18" i="2"/>
  <c r="S18" i="2"/>
  <c r="M18" i="2"/>
  <c r="K18" i="2"/>
  <c r="I18" i="2"/>
  <c r="G18" i="2"/>
  <c r="S17" i="2"/>
  <c r="M17" i="2"/>
  <c r="K17" i="2"/>
  <c r="I17" i="2"/>
  <c r="G17" i="2"/>
  <c r="A207" i="1"/>
  <c r="A206" i="1"/>
  <c r="A205" i="1"/>
  <c r="A204" i="1"/>
  <c r="A203" i="1"/>
  <c r="A202" i="1"/>
  <c r="A201" i="1"/>
  <c r="A200" i="1"/>
  <c r="H155" i="1"/>
  <c r="H154" i="1" s="1"/>
  <c r="H153" i="1" s="1"/>
  <c r="H152" i="1" s="1"/>
  <c r="H151" i="1" s="1"/>
  <c r="H150" i="1" s="1"/>
  <c r="H149" i="1" s="1"/>
  <c r="H148" i="1" s="1"/>
  <c r="H147" i="1" s="1"/>
  <c r="H146" i="1" s="1"/>
  <c r="H145" i="1" s="1"/>
  <c r="H144" i="1" s="1"/>
  <c r="H143" i="1" s="1"/>
  <c r="H142" i="1" s="1"/>
  <c r="H141" i="1" s="1"/>
  <c r="H140" i="1" s="1"/>
  <c r="H139" i="1" s="1"/>
  <c r="H138" i="1" s="1"/>
  <c r="H137" i="1" s="1"/>
  <c r="H136" i="1" s="1"/>
  <c r="H135" i="1" s="1"/>
  <c r="H134" i="1" s="1"/>
  <c r="H133" i="1" s="1"/>
  <c r="H132" i="1" s="1"/>
  <c r="H131" i="1" s="1"/>
  <c r="H130" i="1" s="1"/>
  <c r="H129" i="1" s="1"/>
  <c r="H128" i="1" s="1"/>
  <c r="H127" i="1" s="1"/>
  <c r="H126" i="1" s="1"/>
  <c r="B155" i="1"/>
  <c r="A155" i="1"/>
  <c r="F155" i="1" s="1"/>
  <c r="B154" i="1"/>
  <c r="B153" i="1"/>
  <c r="A153" i="1"/>
  <c r="C153" i="1" s="1"/>
  <c r="B152" i="1"/>
  <c r="B151" i="1"/>
  <c r="A151" i="1"/>
  <c r="C151" i="1" s="1"/>
  <c r="B150" i="1"/>
  <c r="A150" i="1"/>
  <c r="C150" i="1" s="1"/>
  <c r="B149" i="1"/>
  <c r="A149" i="1"/>
  <c r="E149" i="1" s="1"/>
  <c r="B148" i="1"/>
  <c r="B147" i="1"/>
  <c r="A147" i="1"/>
  <c r="E147" i="1" s="1"/>
  <c r="B146" i="1"/>
  <c r="A146" i="1"/>
  <c r="E146" i="1" s="1"/>
  <c r="B145" i="1"/>
  <c r="A145" i="1"/>
  <c r="C145" i="1" s="1"/>
  <c r="B144" i="1"/>
  <c r="A144" i="1"/>
  <c r="E144" i="1" s="1"/>
  <c r="B143" i="1"/>
  <c r="B142" i="1"/>
  <c r="B141" i="1"/>
  <c r="E141" i="1"/>
  <c r="B140" i="1"/>
  <c r="A140" i="1"/>
  <c r="F140" i="1" s="1"/>
  <c r="B139" i="1"/>
  <c r="A139" i="1"/>
  <c r="E139" i="1" s="1"/>
  <c r="B138" i="1"/>
  <c r="A138" i="1"/>
  <c r="C138" i="1" s="1"/>
  <c r="B137" i="1"/>
  <c r="B136" i="1"/>
  <c r="A136" i="1"/>
  <c r="E136" i="1" s="1"/>
  <c r="B135" i="1"/>
  <c r="A135" i="1"/>
  <c r="C135" i="1" s="1"/>
  <c r="B134" i="1"/>
  <c r="A134" i="1"/>
  <c r="D134" i="1" s="1"/>
  <c r="G134" i="1" s="1"/>
  <c r="E134" i="1"/>
  <c r="B133" i="1"/>
  <c r="A133" i="1"/>
  <c r="F133" i="1" s="1"/>
  <c r="B132" i="1"/>
  <c r="B131" i="1"/>
  <c r="B130" i="1"/>
  <c r="E129" i="1"/>
  <c r="B129" i="1"/>
  <c r="E128" i="1"/>
  <c r="B128" i="1"/>
  <c r="A128" i="1"/>
  <c r="F128" i="1" s="1"/>
  <c r="B127" i="1"/>
  <c r="E126" i="1"/>
  <c r="B126" i="1"/>
  <c r="A126" i="1"/>
  <c r="C126" i="1" s="1"/>
  <c r="B125" i="1"/>
  <c r="E124" i="1"/>
  <c r="B124" i="1"/>
  <c r="A124" i="1"/>
  <c r="C124" i="1" s="1"/>
  <c r="E123" i="1"/>
  <c r="B123" i="1"/>
  <c r="A123" i="1"/>
  <c r="C123" i="1" s="1"/>
  <c r="G122" i="1"/>
  <c r="A122" i="1"/>
  <c r="A121" i="1"/>
  <c r="E120" i="1"/>
  <c r="B120" i="1"/>
  <c r="A120" i="1"/>
  <c r="D120" i="1" s="1"/>
  <c r="G120" i="1" s="1"/>
  <c r="E119" i="1"/>
  <c r="B119" i="1"/>
  <c r="A119" i="1"/>
  <c r="C119" i="1" s="1"/>
  <c r="E118" i="1"/>
  <c r="B118" i="1"/>
  <c r="A118" i="1"/>
  <c r="C118" i="1" s="1"/>
  <c r="B117" i="1"/>
  <c r="E116" i="1"/>
  <c r="B116" i="1"/>
  <c r="E115" i="1"/>
  <c r="B115" i="1"/>
  <c r="E114" i="1"/>
  <c r="B114" i="1"/>
  <c r="E113" i="1"/>
  <c r="B113" i="1"/>
  <c r="B112" i="1"/>
  <c r="B111" i="1"/>
  <c r="B110" i="1"/>
  <c r="B109" i="1"/>
  <c r="B107" i="1"/>
  <c r="C106" i="1"/>
  <c r="B105" i="1"/>
  <c r="B104" i="1"/>
  <c r="B103" i="1"/>
  <c r="B102" i="1"/>
  <c r="B101" i="1"/>
  <c r="B100" i="1"/>
  <c r="A100" i="1"/>
  <c r="E100" i="1" s="1"/>
  <c r="C100" i="1"/>
  <c r="G99" i="1"/>
  <c r="H99" i="1" s="1"/>
  <c r="C99" i="1"/>
  <c r="A99" i="1"/>
  <c r="F99" i="1" s="1"/>
  <c r="B98" i="1"/>
  <c r="A98" i="1"/>
  <c r="E98" i="1" s="1"/>
  <c r="B97" i="1"/>
  <c r="A97" i="1"/>
  <c r="F97" i="1" s="1"/>
  <c r="B96" i="1"/>
  <c r="A96" i="1"/>
  <c r="D96" i="1" s="1"/>
  <c r="G96" i="1" s="1"/>
  <c r="H96" i="1" s="1"/>
  <c r="B95" i="1"/>
  <c r="A95" i="1"/>
  <c r="C95" i="1" s="1"/>
  <c r="B94" i="1"/>
  <c r="A94" i="1"/>
  <c r="F94" i="1" s="1"/>
  <c r="B93" i="1"/>
  <c r="A93" i="1"/>
  <c r="E93" i="1" s="1"/>
  <c r="B92" i="1"/>
  <c r="A92" i="1"/>
  <c r="F92" i="1" s="1"/>
  <c r="C91" i="1"/>
  <c r="A91" i="1"/>
  <c r="B91" i="1" s="1"/>
  <c r="B90" i="1"/>
  <c r="A90" i="1"/>
  <c r="F90" i="1" s="1"/>
  <c r="B89" i="1"/>
  <c r="A89" i="1"/>
  <c r="E89" i="1" s="1"/>
  <c r="B88" i="1"/>
  <c r="A88" i="1"/>
  <c r="C88" i="1" s="1"/>
  <c r="B87" i="1"/>
  <c r="A87" i="1"/>
  <c r="C87" i="1" s="1"/>
  <c r="G86" i="1"/>
  <c r="H86" i="1" s="1"/>
  <c r="C86" i="1"/>
  <c r="A86" i="1"/>
  <c r="F86" i="1" s="1"/>
  <c r="B85" i="1"/>
  <c r="B84" i="1"/>
  <c r="A84" i="1"/>
  <c r="F84" i="1" s="1"/>
  <c r="B83" i="1"/>
  <c r="A83" i="1"/>
  <c r="F83" i="1" s="1"/>
  <c r="B82" i="1"/>
  <c r="A82" i="1"/>
  <c r="E82" i="1" s="1"/>
  <c r="B81" i="1"/>
  <c r="B80" i="1"/>
  <c r="F80" i="1"/>
  <c r="B79" i="1"/>
  <c r="B78" i="1"/>
  <c r="F78" i="1"/>
  <c r="B77" i="1"/>
  <c r="A77" i="1"/>
  <c r="F77" i="1" s="1"/>
  <c r="B76" i="1"/>
  <c r="B75" i="1"/>
  <c r="B74" i="1"/>
  <c r="G73" i="1"/>
  <c r="C73" i="1"/>
  <c r="G72" i="1"/>
  <c r="C72" i="1"/>
  <c r="B70" i="1"/>
  <c r="A62" i="1"/>
  <c r="E62" i="1" s="1"/>
  <c r="A61" i="1"/>
  <c r="F61" i="1" s="1"/>
  <c r="A60" i="1"/>
  <c r="F60" i="1" s="1"/>
  <c r="A59" i="1"/>
  <c r="A58" i="1"/>
  <c r="B58" i="1" s="1"/>
  <c r="A57" i="1"/>
  <c r="E57" i="1" s="1"/>
  <c r="B56" i="1"/>
  <c r="A56" i="1"/>
  <c r="C56" i="1" s="1"/>
  <c r="B55" i="1"/>
  <c r="A55" i="1"/>
  <c r="F55" i="1" s="1"/>
  <c r="B54" i="1"/>
  <c r="A54" i="1"/>
  <c r="D54" i="1" s="1"/>
  <c r="G54" i="1" s="1"/>
  <c r="H54" i="1" s="1"/>
  <c r="B53" i="1"/>
  <c r="A53" i="1"/>
  <c r="F53" i="1" s="1"/>
  <c r="G52" i="1"/>
  <c r="H52" i="1" s="1"/>
  <c r="C52" i="1"/>
  <c r="A52" i="1"/>
  <c r="B52" i="1" s="1"/>
  <c r="B51" i="1"/>
  <c r="B50" i="1"/>
  <c r="A50" i="1"/>
  <c r="E50" i="1" s="1"/>
  <c r="G49" i="1"/>
  <c r="H49" i="1" s="1"/>
  <c r="C49" i="1"/>
  <c r="A49" i="1"/>
  <c r="F49" i="1" s="1"/>
  <c r="B48" i="1"/>
  <c r="A48" i="1"/>
  <c r="D48" i="1" s="1"/>
  <c r="G48" i="1" s="1"/>
  <c r="H48" i="1" s="1"/>
  <c r="B47" i="1"/>
  <c r="A47" i="1"/>
  <c r="B46" i="1"/>
  <c r="A46" i="1"/>
  <c r="F46" i="1" s="1"/>
  <c r="C46" i="1"/>
  <c r="B45" i="1"/>
  <c r="C44" i="1"/>
  <c r="B43" i="1"/>
  <c r="A43" i="1"/>
  <c r="G42" i="1"/>
  <c r="H42" i="1" s="1"/>
  <c r="C42" i="1"/>
  <c r="A42" i="1"/>
  <c r="F42" i="1" s="1"/>
  <c r="B41" i="1"/>
  <c r="A41" i="1"/>
  <c r="C41" i="1" s="1"/>
  <c r="F41" i="1"/>
  <c r="B40" i="1"/>
  <c r="A40" i="1"/>
  <c r="E40" i="1" s="1"/>
  <c r="B39" i="1"/>
  <c r="C39" i="1"/>
  <c r="B38" i="1"/>
  <c r="B37" i="1"/>
  <c r="C37" i="1"/>
  <c r="B36" i="1"/>
  <c r="A36" i="1"/>
  <c r="E36" i="1" s="1"/>
  <c r="B35" i="1"/>
  <c r="B34" i="1"/>
  <c r="G33" i="1"/>
  <c r="H33" i="1"/>
  <c r="C33" i="1"/>
  <c r="A33" i="1"/>
  <c r="B33" i="1" s="1"/>
  <c r="F33" i="1"/>
  <c r="C32" i="1"/>
  <c r="A32" i="1"/>
  <c r="F32" i="1" s="1"/>
  <c r="G31" i="1"/>
  <c r="H31" i="1" s="1"/>
  <c r="H30" i="1" s="1"/>
  <c r="F31" i="1"/>
  <c r="B30" i="1"/>
  <c r="B29" i="1"/>
  <c r="A29" i="1"/>
  <c r="C29" i="1" s="1"/>
  <c r="B28" i="1"/>
  <c r="A28" i="1"/>
  <c r="E28" i="1" s="1"/>
  <c r="B27" i="1"/>
  <c r="A27" i="1"/>
  <c r="C27" i="1" s="1"/>
  <c r="B26" i="1"/>
  <c r="A26" i="1"/>
  <c r="F26" i="1" s="1"/>
  <c r="B25" i="1"/>
  <c r="A25" i="1"/>
  <c r="E25" i="1" s="1"/>
  <c r="G24" i="1"/>
  <c r="H24" i="1" s="1"/>
  <c r="C24" i="1"/>
  <c r="A24" i="1"/>
  <c r="F24" i="1" s="1"/>
  <c r="B23" i="1"/>
  <c r="A23" i="1"/>
  <c r="F23" i="1" s="1"/>
  <c r="B22" i="1"/>
  <c r="A22" i="1"/>
  <c r="D22" i="1" s="1"/>
  <c r="B21" i="1"/>
  <c r="A21" i="1"/>
  <c r="C21" i="1" s="1"/>
  <c r="B20" i="1"/>
  <c r="A20" i="1"/>
  <c r="D20" i="1" s="1"/>
  <c r="G20" i="1" s="1"/>
  <c r="H20" i="1" s="1"/>
  <c r="B19" i="1"/>
  <c r="A19" i="1"/>
  <c r="E19" i="1" s="1"/>
  <c r="B18" i="1"/>
  <c r="A18" i="1"/>
  <c r="D18" i="1" s="1"/>
  <c r="G18" i="1" s="1"/>
  <c r="H18" i="1" s="1"/>
  <c r="B17" i="1"/>
  <c r="A17" i="1"/>
  <c r="C17" i="1" s="1"/>
  <c r="A16" i="1"/>
  <c r="F16" i="1" s="1"/>
  <c r="A15" i="1"/>
  <c r="C15" i="1" s="1"/>
  <c r="B15" i="1"/>
  <c r="B14" i="1"/>
  <c r="C12" i="1"/>
  <c r="C11" i="1"/>
  <c r="C9" i="1"/>
  <c r="C8" i="1"/>
  <c r="F106" i="1"/>
  <c r="E117" i="1"/>
  <c r="CB19" i="5"/>
  <c r="CB34" i="5"/>
  <c r="J1797" i="3"/>
  <c r="F143" i="2"/>
  <c r="G143" i="2" s="1"/>
  <c r="E154" i="1"/>
  <c r="F135" i="1"/>
  <c r="AE17" i="2"/>
  <c r="L57" i="5"/>
  <c r="P57" i="5"/>
  <c r="T57" i="5"/>
  <c r="X57" i="5" s="1"/>
  <c r="AB57" i="5" s="1"/>
  <c r="AF57" i="5" s="1"/>
  <c r="AJ57" i="5" s="1"/>
  <c r="AN57" i="5" s="1"/>
  <c r="AR57" i="5" s="1"/>
  <c r="AE85" i="2"/>
  <c r="C117" i="1"/>
  <c r="AE110" i="2"/>
  <c r="E80" i="1"/>
  <c r="C81" i="1"/>
  <c r="F56" i="1"/>
  <c r="E35" i="1"/>
  <c r="F68" i="1"/>
  <c r="F146" i="2"/>
  <c r="G146" i="2" s="1"/>
  <c r="W146" i="2" s="1"/>
  <c r="E30" i="1"/>
  <c r="E81" i="1"/>
  <c r="F148" i="1"/>
  <c r="AE40" i="2"/>
  <c r="C79" i="1"/>
  <c r="E79" i="1"/>
  <c r="E37" i="1"/>
  <c r="C58" i="1"/>
  <c r="F101" i="1"/>
  <c r="C101" i="1"/>
  <c r="F37" i="1"/>
  <c r="B57" i="1"/>
  <c r="C70" i="1"/>
  <c r="E101" i="1"/>
  <c r="F113" i="1"/>
  <c r="F117" i="1"/>
  <c r="AE18" i="2"/>
  <c r="AE35" i="2"/>
  <c r="F111" i="1"/>
  <c r="AE43" i="2"/>
  <c r="AE42" i="2" s="1"/>
  <c r="AE107" i="2"/>
  <c r="AE37" i="2"/>
  <c r="AE41" i="2"/>
  <c r="AE46" i="2"/>
  <c r="AE50" i="2"/>
  <c r="F150" i="2"/>
  <c r="G150" i="2" s="1"/>
  <c r="W150" i="2" s="1"/>
  <c r="F134" i="2"/>
  <c r="G134" i="2" s="1"/>
  <c r="W134" i="2" s="1"/>
  <c r="F132" i="2"/>
  <c r="G132" i="2" s="1"/>
  <c r="W132" i="2" s="1"/>
  <c r="AE132" i="2"/>
  <c r="AE147" i="2"/>
  <c r="AE151" i="2"/>
  <c r="AE150" i="2"/>
  <c r="V1306" i="3"/>
  <c r="V1305" i="3" s="1"/>
  <c r="V1304" i="3" s="1"/>
  <c r="D147" i="1"/>
  <c r="G147" i="1" s="1"/>
  <c r="D97" i="1"/>
  <c r="G97" i="1" s="1"/>
  <c r="H97" i="1" s="1"/>
  <c r="D50" i="1"/>
  <c r="G50" i="1" s="1"/>
  <c r="H50" i="1" s="1"/>
  <c r="J575" i="3"/>
  <c r="J605" i="3"/>
  <c r="D37" i="1"/>
  <c r="F54" i="5"/>
  <c r="EN57" i="5" l="1"/>
  <c r="AV57" i="5"/>
  <c r="AZ57" i="5" s="1"/>
  <c r="BD57" i="5" s="1"/>
  <c r="BH57" i="5" s="1"/>
  <c r="BL57" i="5" s="1"/>
  <c r="BP57" i="5" s="1"/>
  <c r="BT57" i="5" s="1"/>
  <c r="BX57" i="5" s="1"/>
  <c r="AB46" i="5"/>
  <c r="T46" i="5"/>
  <c r="CR46" i="5"/>
  <c r="DP46" i="5"/>
  <c r="P46" i="5"/>
  <c r="BH46" i="5"/>
  <c r="X46" i="5"/>
  <c r="BL46" i="5"/>
  <c r="DL46" i="5"/>
  <c r="BP46" i="5"/>
  <c r="L46" i="5"/>
  <c r="AJ46" i="5"/>
  <c r="DH17" i="5"/>
  <c r="DD56" i="5"/>
  <c r="DD16" i="5"/>
  <c r="AZ25" i="5"/>
  <c r="DL25" i="5"/>
  <c r="BD25" i="5"/>
  <c r="AF25" i="5"/>
  <c r="DP25" i="5"/>
  <c r="BD16" i="5"/>
  <c r="H16" i="5"/>
  <c r="AB16" i="5"/>
  <c r="L16" i="5"/>
  <c r="AF16" i="5"/>
  <c r="BL16" i="5"/>
  <c r="P16" i="5"/>
  <c r="T16" i="5"/>
  <c r="X16" i="5"/>
  <c r="CF16" i="5"/>
  <c r="CJ16" i="5"/>
  <c r="BT16" i="5"/>
  <c r="CN16" i="5"/>
  <c r="BX16" i="5"/>
  <c r="CR16" i="5"/>
  <c r="AZ16" i="5"/>
  <c r="CV16" i="5"/>
  <c r="CZ16" i="5"/>
  <c r="BH16" i="5"/>
  <c r="DP16" i="5"/>
  <c r="BP16" i="5"/>
  <c r="DL16" i="5"/>
  <c r="EJ32" i="5"/>
  <c r="EJ31" i="5" s="1"/>
  <c r="EB32" i="5"/>
  <c r="EB31" i="5" s="1"/>
  <c r="EF32" i="5"/>
  <c r="EF31" i="5" s="1"/>
  <c r="DX32" i="5"/>
  <c r="AJ22" i="5"/>
  <c r="CJ28" i="5"/>
  <c r="CR37" i="5"/>
  <c r="BD52" i="5"/>
  <c r="CN34" i="5"/>
  <c r="AJ37" i="5"/>
  <c r="AZ19" i="5"/>
  <c r="AZ52" i="5"/>
  <c r="CV22" i="5"/>
  <c r="DL52" i="5"/>
  <c r="AF49" i="5"/>
  <c r="DP19" i="5"/>
  <c r="CB52" i="5"/>
  <c r="AC116" i="2"/>
  <c r="AA116" i="2" s="1"/>
  <c r="C16" i="1"/>
  <c r="AN19" i="5"/>
  <c r="I16" i="2"/>
  <c r="CZ56" i="5"/>
  <c r="AR19" i="5"/>
  <c r="AJ31" i="5"/>
  <c r="BL40" i="5"/>
  <c r="G12" i="5"/>
  <c r="DL43" i="5"/>
  <c r="DP28" i="5"/>
  <c r="CN28" i="5"/>
  <c r="CR28" i="5"/>
  <c r="AF31" i="5"/>
  <c r="BH40" i="5"/>
  <c r="DP37" i="5"/>
  <c r="C94" i="1"/>
  <c r="F59" i="1"/>
  <c r="B59" i="1"/>
  <c r="DL19" i="5"/>
  <c r="CR19" i="5"/>
  <c r="DP40" i="5"/>
  <c r="AE129" i="2"/>
  <c r="C19" i="1"/>
  <c r="T40" i="5"/>
  <c r="CR52" i="5"/>
  <c r="CF28" i="5"/>
  <c r="DP49" i="5"/>
  <c r="AV19" i="5"/>
  <c r="AR28" i="5"/>
  <c r="AF28" i="5"/>
  <c r="DP52" i="5"/>
  <c r="CN19" i="5"/>
  <c r="L40" i="5"/>
  <c r="AE67" i="2"/>
  <c r="AE63" i="2"/>
  <c r="AE49" i="2"/>
  <c r="F58" i="1"/>
  <c r="AF37" i="5"/>
  <c r="BH37" i="5"/>
  <c r="AN28" i="5"/>
  <c r="AB28" i="5"/>
  <c r="CN52" i="5"/>
  <c r="I91" i="2"/>
  <c r="AB37" i="5"/>
  <c r="CJ19" i="5"/>
  <c r="DL34" i="5"/>
  <c r="C122" i="1"/>
  <c r="B122" i="1"/>
  <c r="AJ28" i="5"/>
  <c r="BX28" i="5"/>
  <c r="CV49" i="5"/>
  <c r="CV28" i="5"/>
  <c r="E94" i="1"/>
  <c r="J522" i="3"/>
  <c r="F126" i="1"/>
  <c r="CB28" i="5"/>
  <c r="M24" i="2"/>
  <c r="DL49" i="5"/>
  <c r="AV37" i="5"/>
  <c r="AF34" i="5"/>
  <c r="CF19" i="5"/>
  <c r="AZ49" i="5"/>
  <c r="D126" i="1"/>
  <c r="G126" i="1" s="1"/>
  <c r="AZ40" i="5"/>
  <c r="AB40" i="5"/>
  <c r="CV37" i="5"/>
  <c r="BP37" i="5"/>
  <c r="BP52" i="5"/>
  <c r="CF49" i="5"/>
  <c r="BX52" i="5"/>
  <c r="BL52" i="5"/>
  <c r="BH49" i="5"/>
  <c r="H124" i="1"/>
  <c r="H125" i="1"/>
  <c r="E78" i="1"/>
  <c r="AE141" i="2"/>
  <c r="J990" i="3"/>
  <c r="J991" i="3" s="1"/>
  <c r="C102" i="1"/>
  <c r="F123" i="2"/>
  <c r="G123" i="2" s="1"/>
  <c r="W123" i="2" s="1"/>
  <c r="B61" i="1"/>
  <c r="AE78" i="2"/>
  <c r="D46" i="1"/>
  <c r="G46" i="1" s="1"/>
  <c r="H46" i="1" s="1"/>
  <c r="F93" i="1"/>
  <c r="M52" i="2"/>
  <c r="M49" i="2" s="1"/>
  <c r="F74" i="1"/>
  <c r="J467" i="3"/>
  <c r="J468" i="3" s="1"/>
  <c r="AE127" i="2"/>
  <c r="F125" i="1"/>
  <c r="AE152" i="2"/>
  <c r="E46" i="1"/>
  <c r="AE113" i="2"/>
  <c r="F123" i="1"/>
  <c r="F51" i="1"/>
  <c r="AE94" i="2"/>
  <c r="E60" i="1"/>
  <c r="F75" i="1"/>
  <c r="D61" i="1"/>
  <c r="G61" i="1" s="1"/>
  <c r="H61" i="1" s="1"/>
  <c r="C127" i="1"/>
  <c r="AE83" i="2"/>
  <c r="AE56" i="2"/>
  <c r="I86" i="2"/>
  <c r="C154" i="1"/>
  <c r="F102" i="1"/>
  <c r="E61" i="1"/>
  <c r="E17" i="1"/>
  <c r="AE84" i="2"/>
  <c r="F39" i="1"/>
  <c r="C125" i="1"/>
  <c r="E127" i="1"/>
  <c r="F138" i="1"/>
  <c r="AE114" i="2"/>
  <c r="AE75" i="2"/>
  <c r="D17" i="1"/>
  <c r="G17" i="1" s="1"/>
  <c r="H17" i="1" s="1"/>
  <c r="AE53" i="2"/>
  <c r="AE39" i="2"/>
  <c r="AE79" i="2"/>
  <c r="F146" i="1"/>
  <c r="I52" i="2"/>
  <c r="I49" i="2" s="1"/>
  <c r="AE136" i="2"/>
  <c r="D150" i="1"/>
  <c r="G150" i="1" s="1"/>
  <c r="E150" i="1"/>
  <c r="D135" i="1"/>
  <c r="G135" i="1" s="1"/>
  <c r="F38" i="1"/>
  <c r="AE149" i="2"/>
  <c r="F150" i="1"/>
  <c r="AE109" i="2"/>
  <c r="D151" i="1"/>
  <c r="G151" i="1" s="1"/>
  <c r="F124" i="1"/>
  <c r="C38" i="1"/>
  <c r="AE38" i="2"/>
  <c r="J1861" i="3"/>
  <c r="J1862" i="3" s="1"/>
  <c r="F19" i="1"/>
  <c r="F151" i="1"/>
  <c r="E85" i="1"/>
  <c r="D138" i="1"/>
  <c r="G138" i="1" s="1"/>
  <c r="C60" i="1"/>
  <c r="J1746" i="3"/>
  <c r="J1747" i="3" s="1"/>
  <c r="C61" i="1"/>
  <c r="D118" i="1"/>
  <c r="G118" i="1" s="1"/>
  <c r="AE103" i="2"/>
  <c r="F134" i="1"/>
  <c r="F15" i="1"/>
  <c r="F25" i="1"/>
  <c r="C34" i="1"/>
  <c r="F129" i="2"/>
  <c r="G129" i="2" s="1"/>
  <c r="W129" i="2" s="1"/>
  <c r="F85" i="1"/>
  <c r="S24" i="2"/>
  <c r="C50" i="1"/>
  <c r="AE68" i="2"/>
  <c r="AE36" i="2"/>
  <c r="E90" i="1"/>
  <c r="R1713" i="3"/>
  <c r="R1797" i="3"/>
  <c r="J1798" i="3" s="1"/>
  <c r="E153" i="1"/>
  <c r="U1682" i="3"/>
  <c r="R1692" i="3"/>
  <c r="R1694" i="3" s="1"/>
  <c r="Z138" i="2" s="1"/>
  <c r="AB138" i="2" s="1"/>
  <c r="J1692" i="3" s="1"/>
  <c r="J1693" i="3" s="1"/>
  <c r="D139" i="1"/>
  <c r="G139" i="1" s="1"/>
  <c r="C139" i="1"/>
  <c r="F139" i="1"/>
  <c r="R1923" i="3"/>
  <c r="AE111" i="2"/>
  <c r="J1311" i="3"/>
  <c r="F119" i="1"/>
  <c r="AE112" i="2"/>
  <c r="F120" i="1"/>
  <c r="S106" i="2"/>
  <c r="I99" i="2"/>
  <c r="M99" i="2"/>
  <c r="Y106" i="2"/>
  <c r="D77" i="1"/>
  <c r="G77" i="1" s="1"/>
  <c r="C77" i="1"/>
  <c r="R321" i="3"/>
  <c r="O321" i="3" s="1"/>
  <c r="O886" i="3" s="1"/>
  <c r="R886" i="3" s="1"/>
  <c r="R398" i="3"/>
  <c r="R322" i="3"/>
  <c r="AE70" i="2"/>
  <c r="AE66" i="2"/>
  <c r="C51" i="1"/>
  <c r="E66" i="1"/>
  <c r="C143" i="1"/>
  <c r="J1818" i="3"/>
  <c r="J1819" i="3" s="1"/>
  <c r="C26" i="1"/>
  <c r="E26" i="1"/>
  <c r="D60" i="1"/>
  <c r="G60" i="1" s="1"/>
  <c r="H60" i="1" s="1"/>
  <c r="F149" i="1"/>
  <c r="F142" i="1"/>
  <c r="C147" i="1"/>
  <c r="E131" i="1"/>
  <c r="I59" i="2"/>
  <c r="AE116" i="2"/>
  <c r="C141" i="1"/>
  <c r="C134" i="1"/>
  <c r="E143" i="1"/>
  <c r="E77" i="1"/>
  <c r="K106" i="2"/>
  <c r="E108" i="1"/>
  <c r="AE29" i="2"/>
  <c r="D58" i="1"/>
  <c r="G58" i="1" s="1"/>
  <c r="H58" i="1" s="1"/>
  <c r="C133" i="1"/>
  <c r="D65" i="1"/>
  <c r="G65" i="1" s="1"/>
  <c r="F34" i="1"/>
  <c r="C43" i="1"/>
  <c r="J1768" i="3"/>
  <c r="J1769" i="3" s="1"/>
  <c r="AE120" i="2"/>
  <c r="B65" i="1"/>
  <c r="C25" i="1"/>
  <c r="C76" i="1"/>
  <c r="C36" i="1"/>
  <c r="E133" i="1"/>
  <c r="G59" i="2"/>
  <c r="J1847" i="3"/>
  <c r="AE118" i="2"/>
  <c r="D119" i="1"/>
  <c r="G119" i="1" s="1"/>
  <c r="F65" i="1"/>
  <c r="C18" i="1"/>
  <c r="AE119" i="2"/>
  <c r="E18" i="1"/>
  <c r="E54" i="1"/>
  <c r="E112" i="1"/>
  <c r="E76" i="1"/>
  <c r="F27" i="1"/>
  <c r="C45" i="1"/>
  <c r="J1583" i="3"/>
  <c r="J1584" i="3" s="1"/>
  <c r="E111" i="1"/>
  <c r="F114" i="1"/>
  <c r="J1914" i="3"/>
  <c r="D90" i="1"/>
  <c r="G90" i="1" s="1"/>
  <c r="H90" i="1" s="1"/>
  <c r="AE145" i="2"/>
  <c r="D19" i="1"/>
  <c r="G19" i="1" s="1"/>
  <c r="H19" i="1" s="1"/>
  <c r="C104" i="1"/>
  <c r="F131" i="1"/>
  <c r="E142" i="1"/>
  <c r="F154" i="2"/>
  <c r="G154" i="2" s="1"/>
  <c r="W154" i="2" s="1"/>
  <c r="F20" i="1"/>
  <c r="C112" i="1"/>
  <c r="E151" i="1"/>
  <c r="AE93" i="2"/>
  <c r="J1602" i="3"/>
  <c r="F67" i="1"/>
  <c r="Y59" i="2"/>
  <c r="B67" i="1"/>
  <c r="F50" i="1"/>
  <c r="AE131" i="2"/>
  <c r="D100" i="1"/>
  <c r="G100" i="1" s="1"/>
  <c r="H100" i="1" s="1"/>
  <c r="F152" i="2"/>
  <c r="G152" i="2" s="1"/>
  <c r="W152" i="2" s="1"/>
  <c r="AE76" i="2"/>
  <c r="E75" i="1"/>
  <c r="F88" i="1"/>
  <c r="C144" i="1"/>
  <c r="F130" i="2"/>
  <c r="G130" i="2" s="1"/>
  <c r="W130" i="2" s="1"/>
  <c r="E104" i="1"/>
  <c r="D75" i="1"/>
  <c r="G75" i="1" s="1"/>
  <c r="E148" i="1"/>
  <c r="D95" i="1"/>
  <c r="G95" i="1" s="1"/>
  <c r="H95" i="1" s="1"/>
  <c r="F142" i="2"/>
  <c r="G142" i="2" s="1"/>
  <c r="F147" i="1"/>
  <c r="C66" i="1"/>
  <c r="B60" i="1"/>
  <c r="Y44" i="2"/>
  <c r="AE125" i="2"/>
  <c r="C149" i="1"/>
  <c r="D133" i="1"/>
  <c r="G133" i="1" s="1"/>
  <c r="F137" i="1"/>
  <c r="B66" i="1"/>
  <c r="E58" i="1"/>
  <c r="D140" i="1"/>
  <c r="G140" i="1" s="1"/>
  <c r="D88" i="1"/>
  <c r="G88" i="1" s="1"/>
  <c r="H88" i="1" s="1"/>
  <c r="C48" i="1"/>
  <c r="E27" i="1"/>
  <c r="C20" i="1"/>
  <c r="G33" i="2"/>
  <c r="D144" i="1"/>
  <c r="G144" i="1" s="1"/>
  <c r="F129" i="1"/>
  <c r="C93" i="1"/>
  <c r="F47" i="1"/>
  <c r="E20" i="1"/>
  <c r="B49" i="1"/>
  <c r="I33" i="2"/>
  <c r="G44" i="2"/>
  <c r="O71" i="2" s="1"/>
  <c r="F29" i="1"/>
  <c r="F63" i="1"/>
  <c r="G16" i="2"/>
  <c r="T31" i="2" s="1"/>
  <c r="AE148" i="2"/>
  <c r="I44" i="2"/>
  <c r="I73" i="2"/>
  <c r="F130" i="1"/>
  <c r="E109" i="1"/>
  <c r="AE26" i="2"/>
  <c r="AE153" i="2"/>
  <c r="F52" i="1"/>
  <c r="F87" i="1"/>
  <c r="B99" i="1"/>
  <c r="E137" i="1"/>
  <c r="K16" i="2"/>
  <c r="AE54" i="2"/>
  <c r="AE52" i="2" s="1"/>
  <c r="AE126" i="2"/>
  <c r="AE138" i="2"/>
  <c r="C116" i="1"/>
  <c r="S99" i="2"/>
  <c r="D98" i="1"/>
  <c r="AE30" i="2"/>
  <c r="C83" i="1"/>
  <c r="C130" i="1"/>
  <c r="F153" i="1"/>
  <c r="B42" i="1"/>
  <c r="Y99" i="2"/>
  <c r="AE139" i="2"/>
  <c r="F108" i="2"/>
  <c r="G108" i="2" s="1"/>
  <c r="G106" i="2" s="1"/>
  <c r="B64" i="1"/>
  <c r="E87" i="1"/>
  <c r="AE108" i="2"/>
  <c r="AE133" i="2"/>
  <c r="E132" i="1"/>
  <c r="S52" i="2"/>
  <c r="S49" i="2" s="1"/>
  <c r="M59" i="2"/>
  <c r="K59" i="2"/>
  <c r="D146" i="1"/>
  <c r="G146" i="1" s="1"/>
  <c r="AE123" i="2"/>
  <c r="AE88" i="2"/>
  <c r="C65" i="1"/>
  <c r="E135" i="1"/>
  <c r="C132" i="1"/>
  <c r="E155" i="1"/>
  <c r="K24" i="2"/>
  <c r="S33" i="2"/>
  <c r="K44" i="2"/>
  <c r="Y52" i="2"/>
  <c r="Y49" i="2" s="1"/>
  <c r="F70" i="1"/>
  <c r="B32" i="1"/>
  <c r="AE45" i="2"/>
  <c r="AE44" i="2" s="1"/>
  <c r="K33" i="2"/>
  <c r="C128" i="1"/>
  <c r="F140" i="2"/>
  <c r="G140" i="2" s="1"/>
  <c r="Y24" i="2"/>
  <c r="F54" i="1"/>
  <c r="D25" i="1"/>
  <c r="AE82" i="2"/>
  <c r="AE61" i="2"/>
  <c r="E56" i="1"/>
  <c r="F73" i="1"/>
  <c r="F107" i="1"/>
  <c r="G86" i="2"/>
  <c r="F122" i="1"/>
  <c r="F100" i="1"/>
  <c r="E43" i="1"/>
  <c r="E140" i="1"/>
  <c r="C146" i="1"/>
  <c r="F115" i="1"/>
  <c r="M44" i="2"/>
  <c r="E64" i="1"/>
  <c r="M33" i="2"/>
  <c r="D41" i="1"/>
  <c r="G41" i="1" s="1"/>
  <c r="H41" i="1" s="1"/>
  <c r="S73" i="2"/>
  <c r="Y73" i="2"/>
  <c r="K99" i="2"/>
  <c r="C74" i="1"/>
  <c r="AE27" i="2"/>
  <c r="F144" i="1"/>
  <c r="F48" i="1"/>
  <c r="E67" i="1"/>
  <c r="C140" i="1"/>
  <c r="AE135" i="2"/>
  <c r="S59" i="2"/>
  <c r="J1527" i="3"/>
  <c r="Y33" i="2"/>
  <c r="AE34" i="2"/>
  <c r="C40" i="1"/>
  <c r="I24" i="2"/>
  <c r="D35" i="1"/>
  <c r="G35" i="1" s="1"/>
  <c r="H35" i="1" s="1"/>
  <c r="E95" i="1"/>
  <c r="D56" i="1"/>
  <c r="G56" i="1" s="1"/>
  <c r="F89" i="1"/>
  <c r="E45" i="1"/>
  <c r="C54" i="1"/>
  <c r="C90" i="1"/>
  <c r="E138" i="1"/>
  <c r="C35" i="1"/>
  <c r="F110" i="1"/>
  <c r="I106" i="2"/>
  <c r="F43" i="1"/>
  <c r="G52" i="2"/>
  <c r="G49" i="2" s="1"/>
  <c r="G71" i="2" s="1"/>
  <c r="F116" i="1"/>
  <c r="F136" i="1"/>
  <c r="F62" i="1"/>
  <c r="F152" i="1"/>
  <c r="E41" i="1"/>
  <c r="AE128" i="2"/>
  <c r="F17" i="1"/>
  <c r="C30" i="1"/>
  <c r="C136" i="1"/>
  <c r="M16" i="2"/>
  <c r="C109" i="1"/>
  <c r="F126" i="2"/>
  <c r="G126" i="2" s="1"/>
  <c r="W126" i="2" s="1"/>
  <c r="E29" i="1"/>
  <c r="F18" i="1"/>
  <c r="E110" i="1"/>
  <c r="C107" i="1"/>
  <c r="C63" i="1"/>
  <c r="AE81" i="2"/>
  <c r="D153" i="1"/>
  <c r="G153" i="1" s="1"/>
  <c r="AE89" i="2"/>
  <c r="C64" i="1"/>
  <c r="D136" i="1"/>
  <c r="G136" i="1" s="1"/>
  <c r="E21" i="1"/>
  <c r="E55" i="1"/>
  <c r="E152" i="1"/>
  <c r="M106" i="2"/>
  <c r="D53" i="1"/>
  <c r="G53" i="1" s="1"/>
  <c r="H53" i="1" s="1"/>
  <c r="B106" i="1"/>
  <c r="C22" i="1"/>
  <c r="F72" i="1"/>
  <c r="G99" i="2"/>
  <c r="AE124" i="2"/>
  <c r="F98" i="1"/>
  <c r="E63" i="1"/>
  <c r="D21" i="1"/>
  <c r="G21" i="1" s="1"/>
  <c r="H21" i="1" s="1"/>
  <c r="F124" i="2"/>
  <c r="G124" i="2" s="1"/>
  <c r="W124" i="2" s="1"/>
  <c r="F36" i="1"/>
  <c r="AE64" i="2"/>
  <c r="C98" i="1"/>
  <c r="C103" i="1"/>
  <c r="E103" i="1"/>
  <c r="E105" i="1"/>
  <c r="D23" i="1"/>
  <c r="G23" i="1" s="1"/>
  <c r="H23" i="1" s="1"/>
  <c r="H22" i="1" s="1"/>
  <c r="C23" i="1"/>
  <c r="AE102" i="2"/>
  <c r="AE99" i="2" s="1"/>
  <c r="C105" i="1"/>
  <c r="G59" i="1"/>
  <c r="H59" i="1" s="1"/>
  <c r="AE80" i="2"/>
  <c r="E48" i="1"/>
  <c r="C47" i="1"/>
  <c r="E97" i="1"/>
  <c r="K52" i="2"/>
  <c r="K49" i="2" s="1"/>
  <c r="C155" i="1"/>
  <c r="AE23" i="2"/>
  <c r="AE16" i="2" s="1"/>
  <c r="J1062" i="3"/>
  <c r="J1063" i="3" s="1"/>
  <c r="AE69" i="2"/>
  <c r="C96" i="1"/>
  <c r="F44" i="1"/>
  <c r="J1082" i="3"/>
  <c r="J1083" i="3" s="1"/>
  <c r="F57" i="1"/>
  <c r="AE92" i="2"/>
  <c r="AE155" i="2"/>
  <c r="E47" i="1"/>
  <c r="B24" i="1"/>
  <c r="AE90" i="2"/>
  <c r="E84" i="1"/>
  <c r="C97" i="1"/>
  <c r="F82" i="1"/>
  <c r="S44" i="2"/>
  <c r="F118" i="1"/>
  <c r="E23" i="1"/>
  <c r="F95" i="1"/>
  <c r="C82" i="1"/>
  <c r="C84" i="1"/>
  <c r="D57" i="1"/>
  <c r="G57" i="1" s="1"/>
  <c r="H57" i="1" s="1"/>
  <c r="F155" i="2"/>
  <c r="G155" i="2" s="1"/>
  <c r="W155" i="2" s="1"/>
  <c r="AE98" i="2"/>
  <c r="K73" i="2"/>
  <c r="G91" i="2"/>
  <c r="G73" i="2"/>
  <c r="C57" i="1"/>
  <c r="E83" i="1"/>
  <c r="M73" i="2"/>
  <c r="Q24" i="2"/>
  <c r="R25" i="2"/>
  <c r="D55" i="1"/>
  <c r="G55" i="1" s="1"/>
  <c r="H55" i="1" s="1"/>
  <c r="E96" i="1"/>
  <c r="F21" i="1"/>
  <c r="B86" i="1"/>
  <c r="E53" i="1"/>
  <c r="C120" i="1"/>
  <c r="E22" i="1"/>
  <c r="F96" i="1"/>
  <c r="E145" i="1"/>
  <c r="C62" i="1"/>
  <c r="F22" i="1"/>
  <c r="B62" i="1"/>
  <c r="C55" i="1"/>
  <c r="G24" i="2"/>
  <c r="S31" i="2" s="1"/>
  <c r="E88" i="1"/>
  <c r="C28" i="1"/>
  <c r="D92" i="1"/>
  <c r="G92" i="1" s="1"/>
  <c r="H92" i="1" s="1"/>
  <c r="W71" i="2"/>
  <c r="D89" i="1"/>
  <c r="G89" i="1" s="1"/>
  <c r="H89" i="1" s="1"/>
  <c r="C89" i="1"/>
  <c r="J1119" i="3"/>
  <c r="E92" i="1"/>
  <c r="F145" i="1"/>
  <c r="C92" i="1"/>
  <c r="C53" i="1"/>
  <c r="F137" i="2"/>
  <c r="G137" i="2" s="1"/>
  <c r="F28" i="1"/>
  <c r="J1672" i="3"/>
  <c r="F40" i="1"/>
  <c r="R228" i="3"/>
  <c r="J229" i="3" s="1"/>
  <c r="CB56" i="5"/>
  <c r="CB16" i="5"/>
  <c r="CB57" i="5"/>
  <c r="CF57" i="5" s="1"/>
  <c r="CJ57" i="5" s="1"/>
  <c r="CN57" i="5" s="1"/>
  <c r="CR57" i="5" s="1"/>
  <c r="CV57" i="5" s="1"/>
  <c r="K406" i="3"/>
  <c r="V1208" i="3"/>
  <c r="V1204" i="3" s="1"/>
  <c r="V1209" i="3"/>
  <c r="R1670" i="3"/>
  <c r="O965" i="3"/>
  <c r="D880" i="3"/>
  <c r="D972" i="3" s="1"/>
  <c r="D1114" i="3" s="1"/>
  <c r="O1446" i="3"/>
  <c r="N789" i="3"/>
  <c r="V653" i="3"/>
  <c r="V626" i="3"/>
  <c r="K1358" i="3"/>
  <c r="R1748" i="3"/>
  <c r="Z141" i="2" s="1"/>
  <c r="AB141" i="2" s="1"/>
  <c r="J1394" i="3"/>
  <c r="K1708" i="3"/>
  <c r="K1755" i="3"/>
  <c r="J434" i="3"/>
  <c r="J458" i="3"/>
  <c r="J478" i="3"/>
  <c r="R1437" i="3"/>
  <c r="J1438" i="3" s="1"/>
  <c r="O1444" i="3"/>
  <c r="V657" i="3"/>
  <c r="V644" i="3" s="1"/>
  <c r="N788" i="3"/>
  <c r="K1360" i="3"/>
  <c r="R521" i="3"/>
  <c r="R512" i="3"/>
  <c r="K625" i="3"/>
  <c r="O625" i="3" s="1"/>
  <c r="R625" i="3" s="1"/>
  <c r="R628" i="3" s="1"/>
  <c r="J397" i="3"/>
  <c r="O1448" i="3"/>
  <c r="V849" i="3"/>
  <c r="J1379" i="3"/>
  <c r="O846" i="3"/>
  <c r="R846" i="3" s="1"/>
  <c r="O1447" i="3"/>
  <c r="K1390" i="3"/>
  <c r="J1390" i="3" s="1"/>
  <c r="J775" i="3"/>
  <c r="K1687" i="3"/>
  <c r="R1585" i="3"/>
  <c r="Z130" i="2" s="1"/>
  <c r="D130" i="1" s="1"/>
  <c r="G130" i="1" s="1"/>
  <c r="K1113" i="3"/>
  <c r="N1113" i="3" s="1"/>
  <c r="R1113" i="3" s="1"/>
  <c r="O847" i="3"/>
  <c r="R847" i="3" s="1"/>
  <c r="J259" i="3"/>
  <c r="J298" i="3" s="1"/>
  <c r="K446" i="3"/>
  <c r="R446" i="3" s="1"/>
  <c r="R511" i="3"/>
  <c r="R1809" i="3"/>
  <c r="Z144" i="2" s="1"/>
  <c r="AB144" i="2" s="1"/>
  <c r="AC144" i="2" s="1"/>
  <c r="AA144" i="2" s="1"/>
  <c r="K1195" i="3"/>
  <c r="O1445" i="3"/>
  <c r="Q1228" i="3"/>
  <c r="R1228" i="3" s="1"/>
  <c r="O848" i="3"/>
  <c r="R848" i="3" s="1"/>
  <c r="R508" i="3"/>
  <c r="J494" i="3"/>
  <c r="K403" i="3"/>
  <c r="J1890" i="3"/>
  <c r="R1890" i="3" s="1"/>
  <c r="K1486" i="3"/>
  <c r="R1486" i="3" s="1"/>
  <c r="K1395" i="3"/>
  <c r="R1395" i="3" s="1"/>
  <c r="R1387" i="3"/>
  <c r="O1208" i="3"/>
  <c r="R1208" i="3" s="1"/>
  <c r="K345" i="3"/>
  <c r="O345" i="3" s="1"/>
  <c r="R345" i="3" s="1"/>
  <c r="K712" i="3"/>
  <c r="Q712" i="3" s="1"/>
  <c r="R712" i="3" s="1"/>
  <c r="J1021" i="3"/>
  <c r="R378" i="3"/>
  <c r="J576" i="3"/>
  <c r="J1198" i="3"/>
  <c r="V841" i="3"/>
  <c r="K1653" i="3"/>
  <c r="O1653" i="3" s="1"/>
  <c r="R1653" i="3" s="1"/>
  <c r="R1656" i="3" s="1"/>
  <c r="R1658" i="3" s="1"/>
  <c r="Z136" i="2" s="1"/>
  <c r="AB136" i="2" s="1"/>
  <c r="J1656" i="3" s="1"/>
  <c r="J1657" i="3" s="1"/>
  <c r="R1624" i="3"/>
  <c r="R1626" i="3" s="1"/>
  <c r="Z133" i="2" s="1"/>
  <c r="AB133" i="2" s="1"/>
  <c r="J1624" i="3" s="1"/>
  <c r="J1625" i="3" s="1"/>
  <c r="R1496" i="3"/>
  <c r="K724" i="3"/>
  <c r="O724" i="3" s="1"/>
  <c r="R724" i="3" s="1"/>
  <c r="R381" i="3"/>
  <c r="K802" i="3"/>
  <c r="R802" i="3" s="1"/>
  <c r="R1040" i="3"/>
  <c r="J1041" i="3" s="1"/>
  <c r="S991" i="3"/>
  <c r="J301" i="3"/>
  <c r="J300" i="3"/>
  <c r="K1232" i="3"/>
  <c r="V1701" i="3"/>
  <c r="K402" i="3"/>
  <c r="K849" i="3"/>
  <c r="O849" i="3" s="1"/>
  <c r="K1357" i="3"/>
  <c r="K1359" i="3"/>
  <c r="K1362" i="3"/>
  <c r="K973" i="3"/>
  <c r="K1363" i="3"/>
  <c r="K1364" i="3"/>
  <c r="K1765" i="3"/>
  <c r="K975" i="3"/>
  <c r="K1365" i="3"/>
  <c r="K1204" i="3"/>
  <c r="O1204" i="3" s="1"/>
  <c r="R1204" i="3" s="1"/>
  <c r="R992" i="3"/>
  <c r="Z87" i="2" s="1"/>
  <c r="AB87" i="2" s="1"/>
  <c r="AC87" i="2" s="1"/>
  <c r="AA87" i="2" s="1"/>
  <c r="K856" i="3"/>
  <c r="O856" i="3" s="1"/>
  <c r="R856" i="3" s="1"/>
  <c r="K855" i="3"/>
  <c r="O855" i="3" s="1"/>
  <c r="R855" i="3" s="1"/>
  <c r="K853" i="3"/>
  <c r="O853" i="3" s="1"/>
  <c r="R853" i="3" s="1"/>
  <c r="K734" i="3"/>
  <c r="O734" i="3" s="1"/>
  <c r="R734" i="3" s="1"/>
  <c r="Q1332" i="3"/>
  <c r="R1332" i="3" s="1"/>
  <c r="Q1329" i="3"/>
  <c r="R1329" i="3" s="1"/>
  <c r="Q1326" i="3"/>
  <c r="R1326" i="3" s="1"/>
  <c r="Q1322" i="3"/>
  <c r="R1322" i="3" s="1"/>
  <c r="K1667" i="3"/>
  <c r="R1667" i="3" s="1"/>
  <c r="K1756" i="3"/>
  <c r="K1845" i="3"/>
  <c r="R1845" i="3" s="1"/>
  <c r="K518" i="3"/>
  <c r="R518" i="3" s="1"/>
  <c r="R435" i="3"/>
  <c r="V435" i="3" s="1"/>
  <c r="V434" i="3" s="1"/>
  <c r="V433" i="3" s="1"/>
  <c r="V431" i="3" s="1"/>
  <c r="V430" i="3" s="1"/>
  <c r="V429" i="3" s="1"/>
  <c r="V428" i="3" s="1"/>
  <c r="V427" i="3" s="1"/>
  <c r="V426" i="3" s="1"/>
  <c r="N686" i="3"/>
  <c r="O686" i="3" s="1"/>
  <c r="R686" i="3" s="1"/>
  <c r="N1317" i="3"/>
  <c r="O1317" i="3" s="1"/>
  <c r="R1317" i="3" s="1"/>
  <c r="K800" i="3"/>
  <c r="R800" i="3" s="1"/>
  <c r="J1889" i="3"/>
  <c r="R1889" i="3" s="1"/>
  <c r="R1254" i="3"/>
  <c r="K798" i="3"/>
  <c r="R798" i="3" s="1"/>
  <c r="J1911" i="3"/>
  <c r="R1911" i="3" s="1"/>
  <c r="J1909" i="3"/>
  <c r="R1909" i="3" s="1"/>
  <c r="J1471" i="3"/>
  <c r="V1250" i="3"/>
  <c r="V1234" i="3"/>
  <c r="E1610" i="3"/>
  <c r="R565" i="3"/>
  <c r="J566" i="3" s="1"/>
  <c r="R84" i="3"/>
  <c r="Z23" i="2" s="1"/>
  <c r="AB23" i="2" s="1"/>
  <c r="AG23" i="2" s="1"/>
  <c r="AH23" i="2" s="1"/>
  <c r="R44" i="3"/>
  <c r="Z19" i="2" s="1"/>
  <c r="AB19" i="2" s="1"/>
  <c r="AG19" i="2" s="1"/>
  <c r="AH19" i="2" s="1"/>
  <c r="R1882" i="3"/>
  <c r="Z151" i="2" s="1"/>
  <c r="AB151" i="2" s="1"/>
  <c r="J1880" i="3" s="1"/>
  <c r="J1881" i="3" s="1"/>
  <c r="R1829" i="3"/>
  <c r="Z146" i="2" s="1"/>
  <c r="AB146" i="2" s="1"/>
  <c r="AC146" i="2" s="1"/>
  <c r="AA146" i="2" s="1"/>
  <c r="K1309" i="3"/>
  <c r="O1309" i="3" s="1"/>
  <c r="R1309" i="3" s="1"/>
  <c r="K1180" i="3"/>
  <c r="R1180" i="3" s="1"/>
  <c r="G880" i="3"/>
  <c r="G972" i="3" s="1"/>
  <c r="G1114" i="3" s="1"/>
  <c r="R1094" i="3"/>
  <c r="Z98" i="2" s="1"/>
  <c r="AB98" i="2" s="1"/>
  <c r="AC98" i="2" s="1"/>
  <c r="AA98" i="2" s="1"/>
  <c r="R1000" i="3"/>
  <c r="J1001" i="3" s="1"/>
  <c r="K730" i="3"/>
  <c r="O730" i="3" s="1"/>
  <c r="R730" i="3" s="1"/>
  <c r="K728" i="3"/>
  <c r="O728" i="3" s="1"/>
  <c r="R728" i="3" s="1"/>
  <c r="R479" i="3"/>
  <c r="Z48" i="2" s="1"/>
  <c r="AB48" i="2" s="1"/>
  <c r="AC48" i="2" s="1"/>
  <c r="AA48" i="2" s="1"/>
  <c r="R133" i="3"/>
  <c r="J134" i="3" s="1"/>
  <c r="R707" i="3"/>
  <c r="K1669" i="3"/>
  <c r="R1669" i="3" s="1"/>
  <c r="V844" i="3"/>
  <c r="V843" i="3" s="1"/>
  <c r="V842" i="3" s="1"/>
  <c r="K1481" i="3"/>
  <c r="R1481" i="3" s="1"/>
  <c r="O1206" i="3"/>
  <c r="R1206" i="3" s="1"/>
  <c r="N1224" i="3"/>
  <c r="R1224" i="3" s="1"/>
  <c r="K1260" i="3"/>
  <c r="O1260" i="3" s="1"/>
  <c r="R1260" i="3" s="1"/>
  <c r="K1112" i="3"/>
  <c r="N1112" i="3" s="1"/>
  <c r="R1112" i="3" s="1"/>
  <c r="R1012" i="3"/>
  <c r="Z89" i="2" s="1"/>
  <c r="AB89" i="2" s="1"/>
  <c r="AC89" i="2" s="1"/>
  <c r="AA89" i="2" s="1"/>
  <c r="R367" i="3"/>
  <c r="J536" i="3"/>
  <c r="K519" i="3"/>
  <c r="R519" i="3" s="1"/>
  <c r="Q1318" i="3"/>
  <c r="R1318" i="3" s="1"/>
  <c r="K787" i="3"/>
  <c r="R787" i="3" s="1"/>
  <c r="V1263" i="3"/>
  <c r="O1449" i="3"/>
  <c r="O1255" i="3"/>
  <c r="R1255" i="3" s="1"/>
  <c r="K1279" i="3"/>
  <c r="O1279" i="3" s="1"/>
  <c r="R1279" i="3" s="1"/>
  <c r="K1116" i="3"/>
  <c r="N1116" i="3" s="1"/>
  <c r="R1116" i="3" s="1"/>
  <c r="K1115" i="3"/>
  <c r="N1115" i="3" s="1"/>
  <c r="R1115" i="3" s="1"/>
  <c r="R364" i="3"/>
  <c r="R382" i="3"/>
  <c r="R517" i="3"/>
  <c r="D637" i="3"/>
  <c r="K637" i="3" s="1"/>
  <c r="O637" i="3" s="1"/>
  <c r="R637" i="3" s="1"/>
  <c r="R650" i="3" s="1"/>
  <c r="R692" i="3"/>
  <c r="N683" i="3"/>
  <c r="O683" i="3" s="1"/>
  <c r="R683" i="3" s="1"/>
  <c r="Q1324" i="3"/>
  <c r="R1324" i="3" s="1"/>
  <c r="J1910" i="3"/>
  <c r="R1910" i="3" s="1"/>
  <c r="V1033" i="3"/>
  <c r="V1024" i="3"/>
  <c r="K1495" i="3"/>
  <c r="R1495" i="3" s="1"/>
  <c r="R764" i="3"/>
  <c r="R766" i="3" s="1"/>
  <c r="R172" i="3"/>
  <c r="R174" i="3" s="1"/>
  <c r="Z27" i="2" s="1"/>
  <c r="AA27" i="2" s="1"/>
  <c r="R507" i="3"/>
  <c r="K1323" i="3"/>
  <c r="N1323" i="3" s="1"/>
  <c r="O1323" i="3" s="1"/>
  <c r="R1323" i="3" s="1"/>
  <c r="O1274" i="3"/>
  <c r="R1274" i="3" s="1"/>
  <c r="O405" i="3"/>
  <c r="R366" i="3"/>
  <c r="O402" i="3"/>
  <c r="R402" i="3" s="1"/>
  <c r="R363" i="3"/>
  <c r="K799" i="3"/>
  <c r="K1764" i="3"/>
  <c r="K1366" i="3"/>
  <c r="K1367" i="3"/>
  <c r="R337" i="3"/>
  <c r="Z35" i="2" s="1"/>
  <c r="AB35" i="2" s="1"/>
  <c r="AG35" i="2" s="1"/>
  <c r="AH35" i="2" s="1"/>
  <c r="K1396" i="3"/>
  <c r="R1394" i="3"/>
  <c r="K1231" i="3"/>
  <c r="N1231" i="3" s="1"/>
  <c r="R1231" i="3" s="1"/>
  <c r="I1908" i="3"/>
  <c r="I1887" i="3" s="1"/>
  <c r="K852" i="3"/>
  <c r="O852" i="3" s="1"/>
  <c r="R852" i="3" s="1"/>
  <c r="I880" i="3"/>
  <c r="I972" i="3" s="1"/>
  <c r="H1666" i="3"/>
  <c r="R585" i="3"/>
  <c r="J586" i="3" s="1"/>
  <c r="J1888" i="3"/>
  <c r="R1888" i="3" s="1"/>
  <c r="R1863" i="3"/>
  <c r="Z149" i="2" s="1"/>
  <c r="D149" i="1" s="1"/>
  <c r="G149" i="1" s="1"/>
  <c r="K1846" i="3"/>
  <c r="R1846" i="3" s="1"/>
  <c r="R1770" i="3"/>
  <c r="Z142" i="2" s="1"/>
  <c r="AB142" i="2" s="1"/>
  <c r="R1527" i="3"/>
  <c r="R421" i="3"/>
  <c r="J422" i="3" s="1"/>
  <c r="R1273" i="3"/>
  <c r="K854" i="3"/>
  <c r="O854" i="3" s="1"/>
  <c r="R854" i="3" s="1"/>
  <c r="F1908" i="3"/>
  <c r="F1887" i="3" s="1"/>
  <c r="F1844" i="3" s="1"/>
  <c r="F1763" i="3" s="1"/>
  <c r="F1610" i="3" s="1"/>
  <c r="F880" i="3"/>
  <c r="F972" i="3" s="1"/>
  <c r="F1114" i="3" s="1"/>
  <c r="R1141" i="3"/>
  <c r="Z103" i="2" s="1"/>
  <c r="D103" i="1" s="1"/>
  <c r="G103" i="1" s="1"/>
  <c r="H103" i="1" s="1"/>
  <c r="R1084" i="3"/>
  <c r="Z97" i="2" s="1"/>
  <c r="AB97" i="2" s="1"/>
  <c r="AC97" i="2" s="1"/>
  <c r="AA97" i="2" s="1"/>
  <c r="O915" i="3"/>
  <c r="R915" i="3" s="1"/>
  <c r="R911" i="3"/>
  <c r="V911" i="3" s="1"/>
  <c r="V910" i="3" s="1"/>
  <c r="V909" i="3" s="1"/>
  <c r="V908" i="3" s="1"/>
  <c r="V907" i="3" s="1"/>
  <c r="O863" i="3"/>
  <c r="R863" i="3" s="1"/>
  <c r="R867" i="3" s="1"/>
  <c r="K726" i="3"/>
  <c r="O726" i="3" s="1"/>
  <c r="R726" i="3" s="1"/>
  <c r="K603" i="3"/>
  <c r="R603" i="3" s="1"/>
  <c r="R469" i="3"/>
  <c r="Z47" i="2" s="1"/>
  <c r="R267" i="3"/>
  <c r="J268" i="3" s="1"/>
  <c r="R383" i="3"/>
  <c r="R380" i="3"/>
  <c r="R520" i="3"/>
  <c r="R510" i="3"/>
  <c r="R704" i="3"/>
  <c r="N682" i="3"/>
  <c r="O682" i="3" s="1"/>
  <c r="R682" i="3" s="1"/>
  <c r="R1368" i="3"/>
  <c r="R1370" i="3" s="1"/>
  <c r="R1715" i="3"/>
  <c r="Z139" i="2" s="1"/>
  <c r="AB139" i="2" s="1"/>
  <c r="J1713" i="3" s="1"/>
  <c r="J1714" i="3" s="1"/>
  <c r="R1646" i="3"/>
  <c r="Z135" i="2" s="1"/>
  <c r="AB135" i="2" s="1"/>
  <c r="J1644" i="3" s="1"/>
  <c r="J1645" i="3" s="1"/>
  <c r="R1487" i="3"/>
  <c r="K1393" i="3"/>
  <c r="R1393" i="3" s="1"/>
  <c r="K1391" i="3"/>
  <c r="R1391" i="3" s="1"/>
  <c r="K1207" i="3"/>
  <c r="O1207" i="3" s="1"/>
  <c r="R1207" i="3" s="1"/>
  <c r="K1205" i="3"/>
  <c r="O1205" i="3" s="1"/>
  <c r="R1205" i="3" s="1"/>
  <c r="R1234" i="3"/>
  <c r="K1225" i="3"/>
  <c r="Q1226" i="3" s="1"/>
  <c r="R1226" i="3" s="1"/>
  <c r="O835" i="3"/>
  <c r="R835" i="3" s="1"/>
  <c r="R838" i="3" s="1"/>
  <c r="J839" i="3" s="1"/>
  <c r="K727" i="3"/>
  <c r="O727" i="3" s="1"/>
  <c r="R727" i="3" s="1"/>
  <c r="R306" i="3"/>
  <c r="J307" i="3" s="1"/>
  <c r="R96" i="3"/>
  <c r="Z25" i="2" s="1"/>
  <c r="AA25" i="2" s="1"/>
  <c r="J336" i="3"/>
  <c r="K443" i="3"/>
  <c r="R443" i="3" s="1"/>
  <c r="K711" i="3"/>
  <c r="Q711" i="3" s="1"/>
  <c r="R711" i="3" s="1"/>
  <c r="R701" i="3"/>
  <c r="K811" i="3"/>
  <c r="R811" i="3" s="1"/>
  <c r="R1419" i="3"/>
  <c r="J1420" i="3" s="1"/>
  <c r="R1052" i="3"/>
  <c r="J1053" i="3" s="1"/>
  <c r="K1668" i="3"/>
  <c r="R1668" i="3" s="1"/>
  <c r="K1493" i="3"/>
  <c r="R1493" i="3" s="1"/>
  <c r="K1308" i="3"/>
  <c r="O1308" i="3" s="1"/>
  <c r="R1308" i="3" s="1"/>
  <c r="K1307" i="3"/>
  <c r="O1307" i="3" s="1"/>
  <c r="R1307" i="3" s="1"/>
  <c r="R1104" i="3"/>
  <c r="R1106" i="3" s="1"/>
  <c r="Z100" i="2" s="1"/>
  <c r="AB100" i="2" s="1"/>
  <c r="J1104" i="3" s="1"/>
  <c r="J1105" i="3" s="1"/>
  <c r="K1117" i="3"/>
  <c r="N1117" i="3" s="1"/>
  <c r="R1117" i="3" s="1"/>
  <c r="K733" i="3"/>
  <c r="O733" i="3" s="1"/>
  <c r="R733" i="3" s="1"/>
  <c r="R365" i="3"/>
  <c r="K350" i="3"/>
  <c r="O350" i="3" s="1"/>
  <c r="R350" i="3" s="1"/>
  <c r="R379" i="3"/>
  <c r="R509" i="3"/>
  <c r="K1327" i="3"/>
  <c r="Q1327" i="3" s="1"/>
  <c r="R1327" i="3" s="1"/>
  <c r="R782" i="3"/>
  <c r="K809" i="3"/>
  <c r="R809" i="3" s="1"/>
  <c r="R971" i="3"/>
  <c r="R979" i="3" s="1"/>
  <c r="R545" i="3"/>
  <c r="J546" i="3" s="1"/>
  <c r="J556" i="3"/>
  <c r="R557" i="3"/>
  <c r="Z55" i="2" s="1"/>
  <c r="AB55" i="2" s="1"/>
  <c r="S1400" i="3"/>
  <c r="S1012" i="3"/>
  <c r="S829" i="3"/>
  <c r="S1312" i="3"/>
  <c r="S23" i="3"/>
  <c r="S830" i="3"/>
  <c r="S1267" i="3"/>
  <c r="S1807" i="3"/>
  <c r="S764" i="3"/>
  <c r="K594" i="3"/>
  <c r="R594" i="3" s="1"/>
  <c r="K595" i="3"/>
  <c r="R595" i="3" s="1"/>
  <c r="K596" i="3"/>
  <c r="R596" i="3" s="1"/>
  <c r="K597" i="3"/>
  <c r="R597" i="3" s="1"/>
  <c r="S1052" i="3"/>
  <c r="S1880" i="3"/>
  <c r="K598" i="3"/>
  <c r="R598" i="3" s="1"/>
  <c r="K599" i="3"/>
  <c r="R599" i="3" s="1"/>
  <c r="S22" i="3"/>
  <c r="K601" i="3"/>
  <c r="R601" i="3" s="1"/>
  <c r="S31" i="3"/>
  <c r="S63" i="3"/>
  <c r="S478" i="3"/>
  <c r="S477" i="3"/>
  <c r="R1131" i="3"/>
  <c r="Z102" i="2" s="1"/>
  <c r="AB102" i="2" s="1"/>
  <c r="S32" i="3"/>
  <c r="S567" i="3"/>
  <c r="R1032" i="3"/>
  <c r="Z92" i="2" s="1"/>
  <c r="AB92" i="2" s="1"/>
  <c r="AC92" i="2" s="1"/>
  <c r="AA92" i="2" s="1"/>
  <c r="S1284" i="3"/>
  <c r="S1748" i="3"/>
  <c r="R1064" i="3"/>
  <c r="Z95" i="2" s="1"/>
  <c r="AB95" i="2" s="1"/>
  <c r="AC95" i="2" s="1"/>
  <c r="AA95" i="2" s="1"/>
  <c r="S1797" i="3"/>
  <c r="S1881" i="3"/>
  <c r="S1768" i="3"/>
  <c r="S1583" i="3"/>
  <c r="S1410" i="3"/>
  <c r="S1837" i="3"/>
  <c r="S1769" i="3"/>
  <c r="S1818" i="3"/>
  <c r="S1074" i="3"/>
  <c r="S62" i="3"/>
  <c r="S950" i="3"/>
  <c r="S628" i="3"/>
  <c r="S911" i="3"/>
  <c r="S1300" i="3"/>
  <c r="S413" i="3"/>
  <c r="S94" i="3"/>
  <c r="S565" i="3"/>
  <c r="S557" i="3"/>
  <c r="S370" i="3"/>
  <c r="S412" i="3"/>
  <c r="S605" i="3"/>
  <c r="S1002" i="3"/>
  <c r="S326" i="3"/>
  <c r="S1040" i="3"/>
  <c r="S776" i="3"/>
  <c r="S371" i="3"/>
  <c r="S325" i="3"/>
  <c r="S1265" i="3"/>
  <c r="S1082" i="3"/>
  <c r="S1847" i="3"/>
  <c r="S1848" i="3"/>
  <c r="S992" i="3"/>
  <c r="S1010" i="3"/>
  <c r="S867" i="3"/>
  <c r="S1083" i="3"/>
  <c r="S1313" i="3"/>
  <c r="S921" i="3"/>
  <c r="S813" i="3"/>
  <c r="S43" i="3"/>
  <c r="S556" i="3"/>
  <c r="S607" i="3"/>
  <c r="S933" i="3"/>
  <c r="S1836" i="3"/>
  <c r="S1399" i="3"/>
  <c r="S922" i="3"/>
  <c r="S815" i="3"/>
  <c r="S901" i="3"/>
  <c r="S1798" i="3"/>
  <c r="S1808" i="3"/>
  <c r="S629" i="3"/>
  <c r="S868" i="3"/>
  <c r="S775" i="3"/>
  <c r="S494" i="3"/>
  <c r="S1746" i="3"/>
  <c r="S449" i="3"/>
  <c r="S1140" i="3"/>
  <c r="S616" i="3"/>
  <c r="S766" i="3"/>
  <c r="S1714" i="3"/>
  <c r="S1369" i="3"/>
  <c r="S1030" i="3"/>
  <c r="S678" i="3"/>
  <c r="S358" i="3"/>
  <c r="S743" i="3"/>
  <c r="S1645" i="3"/>
  <c r="S1819" i="3"/>
  <c r="S1724" i="3"/>
  <c r="S1556" i="3"/>
  <c r="S535" i="3"/>
  <c r="S1713" i="3"/>
  <c r="S1063" i="3"/>
  <c r="S228" i="3"/>
  <c r="S1658" i="3"/>
  <c r="S575" i="3"/>
  <c r="S838" i="3"/>
  <c r="S1246" i="3"/>
  <c r="S537" i="3"/>
  <c r="S1828" i="3"/>
  <c r="S1106" i="3"/>
  <c r="S1301" i="3"/>
  <c r="S1121" i="3"/>
  <c r="S1031" i="3"/>
  <c r="S1062" i="3"/>
  <c r="S359" i="3"/>
  <c r="S617" i="3"/>
  <c r="S741" i="3"/>
  <c r="S1693" i="3"/>
  <c r="S1439" i="3"/>
  <c r="S1646" i="3"/>
  <c r="S336" i="3"/>
  <c r="S1672" i="3"/>
  <c r="S524" i="3"/>
  <c r="S435" i="3"/>
  <c r="S522" i="3"/>
  <c r="R678" i="3"/>
  <c r="V678" i="3" s="1"/>
  <c r="S1370" i="3"/>
  <c r="S1197" i="3"/>
  <c r="S1104" i="3"/>
  <c r="S1141" i="3"/>
  <c r="S1119" i="3"/>
  <c r="S1602" i="3"/>
  <c r="S1438" i="3"/>
  <c r="S335" i="3"/>
  <c r="S1722" i="3"/>
  <c r="S1692" i="3"/>
  <c r="S1198" i="3"/>
  <c r="S1604" i="3"/>
  <c r="S74" i="3"/>
  <c r="S1657" i="3"/>
  <c r="S433" i="3"/>
  <c r="S1247" i="3"/>
  <c r="S577" i="3"/>
  <c r="S1674" i="3"/>
  <c r="S1555" i="3"/>
  <c r="S230" i="3"/>
  <c r="S1827" i="3"/>
  <c r="S1149" i="3"/>
  <c r="S1872" i="3"/>
  <c r="S1585" i="3"/>
  <c r="S951" i="3"/>
  <c r="S1616" i="3"/>
  <c r="S82" i="3"/>
  <c r="S1211" i="3"/>
  <c r="S1041" i="3"/>
  <c r="S84" i="3"/>
  <c r="S1498" i="3"/>
  <c r="S1150" i="3"/>
  <c r="S1871" i="3"/>
  <c r="S1000" i="3"/>
  <c r="S458" i="3"/>
  <c r="S858" i="3"/>
  <c r="S1614" i="3"/>
  <c r="S1346" i="3"/>
  <c r="S1129" i="3"/>
  <c r="S1072" i="3"/>
  <c r="S1419" i="3"/>
  <c r="S1379" i="3"/>
  <c r="S676" i="3"/>
  <c r="S421" i="3"/>
  <c r="S839" i="3"/>
  <c r="S1499" i="3"/>
  <c r="S1345" i="3"/>
  <c r="S1131" i="3"/>
  <c r="R33" i="3"/>
  <c r="R1472" i="3"/>
  <c r="Z126" i="2" s="1"/>
  <c r="AB126" i="2" s="1"/>
  <c r="AC126" i="2" s="1"/>
  <c r="AA126" i="2" s="1"/>
  <c r="S1282" i="3"/>
  <c r="S308" i="3"/>
  <c r="S52" i="3"/>
  <c r="S909" i="3"/>
  <c r="S422" i="3"/>
  <c r="S650" i="3"/>
  <c r="S135" i="3"/>
  <c r="S1409" i="3"/>
  <c r="S1925" i="3"/>
  <c r="S1636" i="3"/>
  <c r="S1635" i="3"/>
  <c r="S667" i="3"/>
  <c r="S306" i="3"/>
  <c r="S902" i="3"/>
  <c r="S53" i="3"/>
  <c r="S585" i="3"/>
  <c r="S459" i="3"/>
  <c r="S652" i="3"/>
  <c r="S932" i="3"/>
  <c r="S717" i="3"/>
  <c r="S385" i="3"/>
  <c r="S1915" i="3"/>
  <c r="S1173" i="3"/>
  <c r="S133" i="3"/>
  <c r="S387" i="3"/>
  <c r="S1172" i="3"/>
  <c r="S1892" i="3"/>
  <c r="R537" i="3"/>
  <c r="S666" i="3"/>
  <c r="S718" i="3"/>
  <c r="S447" i="3"/>
  <c r="S1914" i="3"/>
  <c r="S546" i="3"/>
  <c r="S1093" i="3"/>
  <c r="S1923" i="3"/>
  <c r="S1893" i="3"/>
  <c r="S96" i="3"/>
  <c r="R74" i="3"/>
  <c r="Z22" i="2" s="1"/>
  <c r="AB22" i="2" s="1"/>
  <c r="AC22" i="2" s="1"/>
  <c r="R23" i="3"/>
  <c r="Z17" i="2" s="1"/>
  <c r="R1873" i="3"/>
  <c r="Z150" i="2" s="1"/>
  <c r="AB150" i="2" s="1"/>
  <c r="J1871" i="3" s="1"/>
  <c r="J1872" i="3" s="1"/>
  <c r="R1636" i="3"/>
  <c r="Z134" i="2" s="1"/>
  <c r="AB134" i="2" s="1"/>
  <c r="J1634" i="3" s="1"/>
  <c r="J1635" i="3" s="1"/>
  <c r="R942" i="3"/>
  <c r="Z83" i="2" s="1"/>
  <c r="R495" i="3"/>
  <c r="S1212" i="3"/>
  <c r="S1053" i="3"/>
  <c r="S1160" i="3"/>
  <c r="S469" i="3"/>
  <c r="S1527" i="3"/>
  <c r="S172" i="3"/>
  <c r="S1420" i="3"/>
  <c r="S1380" i="3"/>
  <c r="S545" i="3"/>
  <c r="S42" i="3"/>
  <c r="S586" i="3"/>
  <c r="S174" i="3"/>
  <c r="S981" i="3"/>
  <c r="S1470" i="3"/>
  <c r="S1626" i="3"/>
  <c r="S1021" i="3"/>
  <c r="S1094" i="3"/>
  <c r="S73" i="3"/>
  <c r="S891" i="3"/>
  <c r="S1861" i="3"/>
  <c r="S940" i="3"/>
  <c r="S1902" i="3"/>
  <c r="S890" i="3"/>
  <c r="S467" i="3"/>
  <c r="S1862" i="3"/>
  <c r="S1159" i="3"/>
  <c r="S857" i="3"/>
  <c r="S1625" i="3"/>
  <c r="S1463" i="3"/>
  <c r="R54" i="3"/>
  <c r="R1724" i="3"/>
  <c r="Z140" i="2" s="1"/>
  <c r="AB140" i="2" s="1"/>
  <c r="J1722" i="3" s="1"/>
  <c r="J1723" i="3" s="1"/>
  <c r="S1901" i="3"/>
  <c r="S1472" i="3"/>
  <c r="S1020" i="3"/>
  <c r="S1529" i="3"/>
  <c r="S941" i="3"/>
  <c r="S493" i="3"/>
  <c r="S979" i="3"/>
  <c r="S1465" i="3"/>
  <c r="S269" i="3"/>
  <c r="S267" i="3"/>
  <c r="S1186" i="3"/>
  <c r="R64" i="3"/>
  <c r="R1838" i="3"/>
  <c r="Z147" i="2" s="1"/>
  <c r="AB147" i="2" s="1"/>
  <c r="J1836" i="3" s="1"/>
  <c r="J1837" i="3" s="1"/>
  <c r="R1022" i="3"/>
  <c r="R933" i="3"/>
  <c r="R459" i="3"/>
  <c r="V1286" i="3"/>
  <c r="V1281" i="3"/>
  <c r="K974" i="3"/>
  <c r="R1300" i="3"/>
  <c r="K408" i="3"/>
  <c r="R577" i="3"/>
  <c r="R1820" i="3"/>
  <c r="Z145" i="2" s="1"/>
  <c r="R1380" i="3"/>
  <c r="R1199" i="3"/>
  <c r="R1272" i="3"/>
  <c r="K1181" i="3"/>
  <c r="R1181" i="3" s="1"/>
  <c r="S1184" i="3"/>
  <c r="R1903" i="3"/>
  <c r="Z153" i="2" s="1"/>
  <c r="AB153" i="2" s="1"/>
  <c r="AG153" i="2" s="1"/>
  <c r="AH153" i="2" s="1"/>
  <c r="R1409" i="3"/>
  <c r="R1253" i="3"/>
  <c r="R1149" i="3"/>
  <c r="R1151" i="3" s="1"/>
  <c r="R952" i="3"/>
  <c r="R776" i="3"/>
  <c r="K515" i="3"/>
  <c r="R515" i="3" s="1"/>
  <c r="K514" i="3"/>
  <c r="R514" i="3" s="1"/>
  <c r="K1179" i="3"/>
  <c r="R1179" i="3" s="1"/>
  <c r="R1161" i="3"/>
  <c r="K516" i="3"/>
  <c r="R516" i="3" s="1"/>
  <c r="K725" i="3"/>
  <c r="O725" i="3" s="1"/>
  <c r="R725" i="3" s="1"/>
  <c r="R616" i="3"/>
  <c r="J617" i="3" s="1"/>
  <c r="R1172" i="3"/>
  <c r="J1173" i="3" s="1"/>
  <c r="O873" i="3"/>
  <c r="R873" i="3" s="1"/>
  <c r="R829" i="3"/>
  <c r="K1333" i="3"/>
  <c r="Q1333" i="3" s="1"/>
  <c r="R1333" i="3" s="1"/>
  <c r="G1334" i="3"/>
  <c r="K1334" i="3" s="1"/>
  <c r="Q1334" i="3" s="1"/>
  <c r="R1334" i="3" s="1"/>
  <c r="R1074" i="3"/>
  <c r="K444" i="3"/>
  <c r="R444" i="3" s="1"/>
  <c r="K442" i="3"/>
  <c r="R442" i="3" s="1"/>
  <c r="R783" i="3"/>
  <c r="R696" i="3"/>
  <c r="N685" i="3"/>
  <c r="O685" i="3" s="1"/>
  <c r="R685" i="3" s="1"/>
  <c r="R1463" i="3"/>
  <c r="R1602" i="3"/>
  <c r="D1666" i="3"/>
  <c r="D1610" i="3"/>
  <c r="G1666" i="3"/>
  <c r="G1610" i="3"/>
  <c r="R1554" i="3"/>
  <c r="K808" i="3"/>
  <c r="R808" i="3" s="1"/>
  <c r="ET32" i="5" l="1"/>
  <c r="EU32" i="5" s="1"/>
  <c r="DX31" i="5"/>
  <c r="G54" i="5"/>
  <c r="H13" i="5"/>
  <c r="AF13" i="5"/>
  <c r="AZ13" i="5"/>
  <c r="CN13" i="5"/>
  <c r="EJ13" i="5"/>
  <c r="DD54" i="5"/>
  <c r="CZ57" i="5"/>
  <c r="DD57" i="5" s="1"/>
  <c r="AE86" i="2"/>
  <c r="I31" i="2"/>
  <c r="M31" i="2"/>
  <c r="CZ54" i="5"/>
  <c r="M71" i="2"/>
  <c r="DH56" i="5"/>
  <c r="DH54" i="5" s="1"/>
  <c r="DH16" i="5"/>
  <c r="AE91" i="2"/>
  <c r="AE33" i="2"/>
  <c r="U71" i="2"/>
  <c r="AB47" i="2"/>
  <c r="AC47" i="2" s="1"/>
  <c r="AA47" i="2" s="1"/>
  <c r="D47" i="1"/>
  <c r="G47" i="1" s="1"/>
  <c r="H47" i="1" s="1"/>
  <c r="AB83" i="2"/>
  <c r="AC83" i="2" s="1"/>
  <c r="AA83" i="2" s="1"/>
  <c r="D83" i="1"/>
  <c r="H123" i="1"/>
  <c r="H122" i="1" s="1"/>
  <c r="H120" i="1" s="1"/>
  <c r="H119" i="1" s="1"/>
  <c r="H118" i="1" s="1"/>
  <c r="H117" i="1" s="1"/>
  <c r="H116" i="1" s="1"/>
  <c r="H115" i="1" s="1"/>
  <c r="H114" i="1" s="1"/>
  <c r="H113" i="1" s="1"/>
  <c r="U31" i="2"/>
  <c r="Q71" i="2"/>
  <c r="K71" i="2"/>
  <c r="O31" i="2"/>
  <c r="Y71" i="2"/>
  <c r="AE59" i="2"/>
  <c r="N31" i="2"/>
  <c r="AE31" i="2"/>
  <c r="R1211" i="3"/>
  <c r="R357" i="3"/>
  <c r="R359" i="3" s="1"/>
  <c r="AE106" i="2"/>
  <c r="R325" i="3"/>
  <c r="R605" i="3"/>
  <c r="R921" i="3"/>
  <c r="J922" i="3" s="1"/>
  <c r="R522" i="3"/>
  <c r="J523" i="3" s="1"/>
  <c r="R813" i="3"/>
  <c r="J814" i="3" s="1"/>
  <c r="R327" i="3"/>
  <c r="J326" i="3"/>
  <c r="R370" i="3"/>
  <c r="R372" i="3" s="1"/>
  <c r="V372" i="3" s="1"/>
  <c r="R385" i="3"/>
  <c r="O322" i="3"/>
  <c r="O887" i="3" s="1"/>
  <c r="R887" i="3" s="1"/>
  <c r="R890" i="3" s="1"/>
  <c r="J1603" i="3"/>
  <c r="H16" i="1"/>
  <c r="J121" i="2"/>
  <c r="AE71" i="2"/>
  <c r="H15" i="1"/>
  <c r="J1528" i="3"/>
  <c r="AE73" i="2"/>
  <c r="AE121" i="2" s="1"/>
  <c r="K31" i="2"/>
  <c r="Y31" i="2"/>
  <c r="W31" i="2"/>
  <c r="G31" i="2"/>
  <c r="AC31" i="2"/>
  <c r="P31" i="2"/>
  <c r="J31" i="2"/>
  <c r="Q31" i="2"/>
  <c r="U121" i="2"/>
  <c r="N121" i="2"/>
  <c r="R31" i="2"/>
  <c r="L31" i="2"/>
  <c r="X31" i="2"/>
  <c r="AB31" i="2"/>
  <c r="AE156" i="2"/>
  <c r="S71" i="2"/>
  <c r="X121" i="2"/>
  <c r="P121" i="2"/>
  <c r="AC121" i="2"/>
  <c r="G121" i="2"/>
  <c r="M121" i="2"/>
  <c r="W121" i="2"/>
  <c r="O121" i="2"/>
  <c r="Y121" i="2"/>
  <c r="L121" i="2"/>
  <c r="I121" i="2"/>
  <c r="S121" i="2"/>
  <c r="R121" i="2"/>
  <c r="T121" i="2"/>
  <c r="Q121" i="2"/>
  <c r="K121" i="2"/>
  <c r="R24" i="2"/>
  <c r="AD25" i="2"/>
  <c r="N1225" i="3"/>
  <c r="R1225" i="3" s="1"/>
  <c r="R1439" i="3"/>
  <c r="V1439" i="3" s="1"/>
  <c r="V1438" i="3" s="1"/>
  <c r="V1437" i="3" s="1"/>
  <c r="R405" i="3"/>
  <c r="O407" i="3" s="1"/>
  <c r="Z39" i="2"/>
  <c r="R1799" i="3"/>
  <c r="Z143" i="2" s="1"/>
  <c r="AB143" i="2" s="1"/>
  <c r="AC143" i="2" s="1"/>
  <c r="AA143" i="2" s="1"/>
  <c r="R1184" i="3"/>
  <c r="R1186" i="3" s="1"/>
  <c r="R269" i="3"/>
  <c r="Z29" i="2" s="1"/>
  <c r="V656" i="3"/>
  <c r="V655" i="3" s="1"/>
  <c r="V654" i="3" s="1"/>
  <c r="V669" i="3" s="1"/>
  <c r="V660" i="3" s="1"/>
  <c r="V647" i="3" s="1"/>
  <c r="R587" i="3"/>
  <c r="V587" i="3" s="1"/>
  <c r="V586" i="3" s="1"/>
  <c r="V585" i="3" s="1"/>
  <c r="V584" i="3" s="1"/>
  <c r="V583" i="3" s="1"/>
  <c r="V582" i="3" s="1"/>
  <c r="V581" i="3" s="1"/>
  <c r="V580" i="3" s="1"/>
  <c r="V579" i="3" s="1"/>
  <c r="V588" i="3" s="1"/>
  <c r="R135" i="3"/>
  <c r="Z26" i="2" s="1"/>
  <c r="J765" i="3"/>
  <c r="R1213" i="3"/>
  <c r="AB130" i="2"/>
  <c r="AG130" i="2" s="1"/>
  <c r="AH130" i="2" s="1"/>
  <c r="D141" i="1"/>
  <c r="G141" i="1" s="1"/>
  <c r="R1042" i="3"/>
  <c r="V1042" i="3" s="1"/>
  <c r="V1041" i="3" s="1"/>
  <c r="V1040" i="3" s="1"/>
  <c r="V1233" i="3"/>
  <c r="V1244" i="3"/>
  <c r="J173" i="3"/>
  <c r="J980" i="3"/>
  <c r="R1265" i="3"/>
  <c r="R1267" i="3" s="1"/>
  <c r="R308" i="3"/>
  <c r="V308" i="3" s="1"/>
  <c r="V307" i="3" s="1"/>
  <c r="V306" i="3" s="1"/>
  <c r="V309" i="3" s="1"/>
  <c r="O896" i="3"/>
  <c r="R896" i="3" s="1"/>
  <c r="R900" i="3" s="1"/>
  <c r="R902" i="3" s="1"/>
  <c r="Z79" i="2" s="1"/>
  <c r="AB103" i="2"/>
  <c r="AG103" i="2" s="1"/>
  <c r="AH103" i="2" s="1"/>
  <c r="R1002" i="3"/>
  <c r="Z88" i="2" s="1"/>
  <c r="AB88" i="2" s="1"/>
  <c r="R547" i="3"/>
  <c r="Z54" i="2" s="1"/>
  <c r="AB54" i="2" s="1"/>
  <c r="F1666" i="3"/>
  <c r="O659" i="3"/>
  <c r="R659" i="3" s="1"/>
  <c r="R666" i="3" s="1"/>
  <c r="J667" i="3" s="1"/>
  <c r="R1054" i="3"/>
  <c r="Z94" i="2" s="1"/>
  <c r="R1282" i="3"/>
  <c r="R1284" i="3" s="1"/>
  <c r="AG87" i="2"/>
  <c r="AH87" i="2" s="1"/>
  <c r="D87" i="1"/>
  <c r="G87" i="1" s="1"/>
  <c r="H87" i="1" s="1"/>
  <c r="AG144" i="2"/>
  <c r="AH144" i="2" s="1"/>
  <c r="J1807" i="3"/>
  <c r="J1808" i="3" s="1"/>
  <c r="V992" i="3"/>
  <c r="V991" i="3" s="1"/>
  <c r="V990" i="3" s="1"/>
  <c r="V989" i="3" s="1"/>
  <c r="V988" i="3" s="1"/>
  <c r="V987" i="3" s="1"/>
  <c r="V986" i="3" s="1"/>
  <c r="V985" i="3" s="1"/>
  <c r="V984" i="3" s="1"/>
  <c r="V993" i="3" s="1"/>
  <c r="V983" i="3" s="1"/>
  <c r="R857" i="3"/>
  <c r="R859" i="3" s="1"/>
  <c r="R1497" i="3"/>
  <c r="J1498" i="3" s="1"/>
  <c r="J606" i="3"/>
  <c r="R567" i="3"/>
  <c r="Z56" i="2" s="1"/>
  <c r="AB56" i="2" s="1"/>
  <c r="R1174" i="3"/>
  <c r="Z107" i="2" s="1"/>
  <c r="R741" i="3"/>
  <c r="J742" i="3" s="1"/>
  <c r="R840" i="3"/>
  <c r="Z75" i="2" s="1"/>
  <c r="AB75" i="2" s="1"/>
  <c r="R1529" i="3"/>
  <c r="Z128" i="2" s="1"/>
  <c r="AB128" i="2" s="1"/>
  <c r="AC128" i="2" s="1"/>
  <c r="AA128" i="2" s="1"/>
  <c r="R1338" i="3"/>
  <c r="R1341" i="3" s="1"/>
  <c r="R1336" i="3" s="1"/>
  <c r="R1344" i="3" s="1"/>
  <c r="AC135" i="2"/>
  <c r="AA135" i="2" s="1"/>
  <c r="V432" i="3"/>
  <c r="V436" i="3" s="1"/>
  <c r="V425" i="3" s="1"/>
  <c r="Z43" i="2"/>
  <c r="R1311" i="3"/>
  <c r="J1312" i="3" s="1"/>
  <c r="J1011" i="3"/>
  <c r="AG151" i="2"/>
  <c r="AH151" i="2" s="1"/>
  <c r="D142" i="1"/>
  <c r="G142" i="1" s="1"/>
  <c r="V479" i="3"/>
  <c r="V478" i="3" s="1"/>
  <c r="V477" i="3" s="1"/>
  <c r="V476" i="3" s="1"/>
  <c r="V475" i="3" s="1"/>
  <c r="V474" i="3" s="1"/>
  <c r="V473" i="3" s="1"/>
  <c r="V472" i="3" s="1"/>
  <c r="V471" i="3" s="1"/>
  <c r="V480" i="3" s="1"/>
  <c r="AB149" i="2"/>
  <c r="AG149" i="2" s="1"/>
  <c r="AH149" i="2" s="1"/>
  <c r="AG146" i="2"/>
  <c r="AH146" i="2" s="1"/>
  <c r="AG97" i="2"/>
  <c r="AH97" i="2" s="1"/>
  <c r="AG98" i="2"/>
  <c r="AH98" i="2" s="1"/>
  <c r="J1093" i="3"/>
  <c r="J1827" i="3"/>
  <c r="J1828" i="3" s="1"/>
  <c r="R423" i="3"/>
  <c r="V423" i="3" s="1"/>
  <c r="V422" i="3" s="1"/>
  <c r="V421" i="3" s="1"/>
  <c r="AA23" i="2"/>
  <c r="J83" i="3"/>
  <c r="V84" i="3"/>
  <c r="V83" i="3" s="1"/>
  <c r="V82" i="3" s="1"/>
  <c r="V81" i="3" s="1"/>
  <c r="V80" i="3" s="1"/>
  <c r="V79" i="3" s="1"/>
  <c r="V78" i="3" s="1"/>
  <c r="V77" i="3" s="1"/>
  <c r="V76" i="3" s="1"/>
  <c r="V85" i="3" s="1"/>
  <c r="AA35" i="2"/>
  <c r="AC151" i="2"/>
  <c r="AA151" i="2" s="1"/>
  <c r="V398" i="3"/>
  <c r="V397" i="3" s="1"/>
  <c r="V396" i="3" s="1"/>
  <c r="V395" i="3" s="1"/>
  <c r="V394" i="3" s="1"/>
  <c r="V392" i="3" s="1"/>
  <c r="V391" i="3" s="1"/>
  <c r="V390" i="3" s="1"/>
  <c r="V389" i="3" s="1"/>
  <c r="V399" i="3" s="1"/>
  <c r="AB27" i="2"/>
  <c r="AC27" i="2" s="1"/>
  <c r="Z80" i="2"/>
  <c r="AB80" i="2" s="1"/>
  <c r="AC19" i="2"/>
  <c r="AG89" i="2"/>
  <c r="AH89" i="2" s="1"/>
  <c r="V1012" i="3"/>
  <c r="V1011" i="3" s="1"/>
  <c r="V1010" i="3" s="1"/>
  <c r="V1009" i="3" s="1"/>
  <c r="V1008" i="3" s="1"/>
  <c r="V1007" i="3" s="1"/>
  <c r="V1006" i="3" s="1"/>
  <c r="V1005" i="3" s="1"/>
  <c r="V1004" i="3" s="1"/>
  <c r="V1013" i="3" s="1"/>
  <c r="J42" i="3"/>
  <c r="J43" i="3" s="1"/>
  <c r="V44" i="3"/>
  <c r="V43" i="3" s="1"/>
  <c r="V42" i="3" s="1"/>
  <c r="V45" i="3" s="1"/>
  <c r="AA19" i="2"/>
  <c r="AC23" i="2"/>
  <c r="V96" i="3"/>
  <c r="V95" i="3" s="1"/>
  <c r="V94" i="3" s="1"/>
  <c r="V93" i="3" s="1"/>
  <c r="V97" i="3" s="1"/>
  <c r="AB25" i="2"/>
  <c r="V1084" i="3"/>
  <c r="V1083" i="3" s="1"/>
  <c r="V1082" i="3" s="1"/>
  <c r="V1081" i="3" s="1"/>
  <c r="V1080" i="3" s="1"/>
  <c r="V1079" i="3" s="1"/>
  <c r="V1078" i="3" s="1"/>
  <c r="V1077" i="3" s="1"/>
  <c r="V1076" i="3" s="1"/>
  <c r="V1085" i="3" s="1"/>
  <c r="AG48" i="2"/>
  <c r="AH48" i="2" s="1"/>
  <c r="V1131" i="3"/>
  <c r="V1130" i="3" s="1"/>
  <c r="V1129" i="3" s="1"/>
  <c r="V1128" i="3" s="1"/>
  <c r="V1127" i="3" s="1"/>
  <c r="V1126" i="3" s="1"/>
  <c r="V1125" i="3" s="1"/>
  <c r="V1124" i="3" s="1"/>
  <c r="V1123" i="3" s="1"/>
  <c r="V1132" i="3" s="1"/>
  <c r="V337" i="3"/>
  <c r="V336" i="3" s="1"/>
  <c r="V335" i="3" s="1"/>
  <c r="V334" i="3" s="1"/>
  <c r="V333" i="3" s="1"/>
  <c r="V332" i="3" s="1"/>
  <c r="V331" i="3" s="1"/>
  <c r="V330" i="3" s="1"/>
  <c r="V329" i="3" s="1"/>
  <c r="V338" i="3" s="1"/>
  <c r="V1094" i="3"/>
  <c r="V1093" i="3" s="1"/>
  <c r="V1092" i="3" s="1"/>
  <c r="V1091" i="3" s="1"/>
  <c r="V1090" i="3" s="1"/>
  <c r="V1089" i="3" s="1"/>
  <c r="V1088" i="3" s="1"/>
  <c r="V1087" i="3" s="1"/>
  <c r="V1086" i="3" s="1"/>
  <c r="V1095" i="3" s="1"/>
  <c r="D27" i="1"/>
  <c r="G27" i="1" s="1"/>
  <c r="H27" i="1" s="1"/>
  <c r="V174" i="3"/>
  <c r="V173" i="3" s="1"/>
  <c r="V172" i="3" s="1"/>
  <c r="V142" i="3" s="1"/>
  <c r="J868" i="3"/>
  <c r="R869" i="3"/>
  <c r="Z77" i="2" s="1"/>
  <c r="AB77" i="2" s="1"/>
  <c r="AG135" i="2"/>
  <c r="AH135" i="2" s="1"/>
  <c r="V469" i="3"/>
  <c r="V468" i="3" s="1"/>
  <c r="V467" i="3" s="1"/>
  <c r="V466" i="3" s="1"/>
  <c r="V465" i="3" s="1"/>
  <c r="V464" i="3" s="1"/>
  <c r="V463" i="3" s="1"/>
  <c r="V462" i="3" s="1"/>
  <c r="V461" i="3" s="1"/>
  <c r="V470" i="3" s="1"/>
  <c r="V1141" i="3"/>
  <c r="V1140" i="3" s="1"/>
  <c r="V1139" i="3" s="1"/>
  <c r="V1138" i="3" s="1"/>
  <c r="V1137" i="3" s="1"/>
  <c r="V1136" i="3" s="1"/>
  <c r="V1135" i="3" s="1"/>
  <c r="V1134" i="3" s="1"/>
  <c r="V1133" i="3" s="1"/>
  <c r="V1142" i="3" s="1"/>
  <c r="Z117" i="2"/>
  <c r="V1370" i="3"/>
  <c r="K972" i="3"/>
  <c r="I1114" i="3"/>
  <c r="K1114" i="3" s="1"/>
  <c r="N1114" i="3" s="1"/>
  <c r="R1114" i="3" s="1"/>
  <c r="J1369" i="3"/>
  <c r="R1421" i="3"/>
  <c r="Q1396" i="3"/>
  <c r="R1396" i="3" s="1"/>
  <c r="R1399" i="3" s="1"/>
  <c r="R1401" i="3" s="1"/>
  <c r="J1396" i="3"/>
  <c r="J1908" i="3"/>
  <c r="R1908" i="3" s="1"/>
  <c r="R1914" i="3" s="1"/>
  <c r="J1915" i="3" s="1"/>
  <c r="V557" i="3"/>
  <c r="V556" i="3" s="1"/>
  <c r="V555" i="3" s="1"/>
  <c r="V554" i="3" s="1"/>
  <c r="V553" i="3" s="1"/>
  <c r="V552" i="3" s="1"/>
  <c r="V551" i="3" s="1"/>
  <c r="V550" i="3" s="1"/>
  <c r="V549" i="3" s="1"/>
  <c r="V558" i="3" s="1"/>
  <c r="D102" i="1"/>
  <c r="G102" i="1" s="1"/>
  <c r="H102" i="1" s="1"/>
  <c r="AG92" i="2"/>
  <c r="AH92" i="2" s="1"/>
  <c r="V1032" i="3"/>
  <c r="V1031" i="3" s="1"/>
  <c r="V1030" i="3" s="1"/>
  <c r="V1029" i="3" s="1"/>
  <c r="V1028" i="3" s="1"/>
  <c r="V1027" i="3" s="1"/>
  <c r="AG133" i="2"/>
  <c r="AH133" i="2" s="1"/>
  <c r="AC133" i="2"/>
  <c r="AA133" i="2" s="1"/>
  <c r="V23" i="3"/>
  <c r="V22" i="3" s="1"/>
  <c r="V21" i="3" s="1"/>
  <c r="V20" i="3" s="1"/>
  <c r="V19" i="3" s="1"/>
  <c r="V18" i="3" s="1"/>
  <c r="V17" i="3" s="1"/>
  <c r="V16" i="3" s="1"/>
  <c r="V15" i="3" s="1"/>
  <c r="V24" i="3" s="1"/>
  <c r="J1031" i="3"/>
  <c r="V1064" i="3"/>
  <c r="V1063" i="3" s="1"/>
  <c r="V1062" i="3" s="1"/>
  <c r="V1061" i="3" s="1"/>
  <c r="V1060" i="3" s="1"/>
  <c r="V1059" i="3" s="1"/>
  <c r="V1058" i="3" s="1"/>
  <c r="V1057" i="3" s="1"/>
  <c r="V1056" i="3" s="1"/>
  <c r="V1065" i="3" s="1"/>
  <c r="Z68" i="2"/>
  <c r="V766" i="3"/>
  <c r="AC100" i="2"/>
  <c r="AA100" i="2" s="1"/>
  <c r="AG95" i="2"/>
  <c r="AH95" i="2" s="1"/>
  <c r="AC138" i="2"/>
  <c r="AA138" i="2" s="1"/>
  <c r="AG134" i="2"/>
  <c r="AH134" i="2" s="1"/>
  <c r="AG126" i="2"/>
  <c r="AH126" i="2" s="1"/>
  <c r="AC139" i="2"/>
  <c r="AA139" i="2" s="1"/>
  <c r="AC134" i="2"/>
  <c r="AA134" i="2" s="1"/>
  <c r="J941" i="3"/>
  <c r="V74" i="3"/>
  <c r="V73" i="3" s="1"/>
  <c r="V72" i="3" s="1"/>
  <c r="V71" i="3" s="1"/>
  <c r="V70" i="3" s="1"/>
  <c r="V69" i="3" s="1"/>
  <c r="V68" i="3" s="1"/>
  <c r="V67" i="3" s="1"/>
  <c r="V66" i="3" s="1"/>
  <c r="V75" i="3" s="1"/>
  <c r="V942" i="3"/>
  <c r="V941" i="3" s="1"/>
  <c r="V940" i="3" s="1"/>
  <c r="V939" i="3" s="1"/>
  <c r="V938" i="3" s="1"/>
  <c r="V936" i="3" s="1"/>
  <c r="V935" i="3" s="1"/>
  <c r="V943" i="3" s="1"/>
  <c r="Z65" i="2"/>
  <c r="AB65" i="2" s="1"/>
  <c r="J676" i="3" s="1"/>
  <c r="J677" i="3" s="1"/>
  <c r="V1106" i="3"/>
  <c r="V1105" i="3" s="1"/>
  <c r="V1104" i="3" s="1"/>
  <c r="V1102" i="3" s="1"/>
  <c r="AG100" i="2"/>
  <c r="AH100" i="2" s="1"/>
  <c r="AG147" i="2"/>
  <c r="AH147" i="2" s="1"/>
  <c r="AA22" i="2"/>
  <c r="Z18" i="2"/>
  <c r="V33" i="3"/>
  <c r="V32" i="3" s="1"/>
  <c r="V31" i="3" s="1"/>
  <c r="V30" i="3" s="1"/>
  <c r="V29" i="3" s="1"/>
  <c r="V34" i="3" s="1"/>
  <c r="AC150" i="2"/>
  <c r="AA150" i="2" s="1"/>
  <c r="Z50" i="2"/>
  <c r="AB50" i="2" s="1"/>
  <c r="V495" i="3"/>
  <c r="AB17" i="2"/>
  <c r="AA17" i="2"/>
  <c r="AC153" i="2"/>
  <c r="AA153" i="2" s="1"/>
  <c r="AC140" i="2"/>
  <c r="AA140" i="2" s="1"/>
  <c r="AC35" i="2"/>
  <c r="AG22" i="2"/>
  <c r="AH22" i="2" s="1"/>
  <c r="J72" i="3"/>
  <c r="J73" i="3" s="1"/>
  <c r="AG136" i="2"/>
  <c r="AH136" i="2" s="1"/>
  <c r="AG138" i="2"/>
  <c r="AH138" i="2" s="1"/>
  <c r="AG150" i="2"/>
  <c r="AH150" i="2" s="1"/>
  <c r="V537" i="3"/>
  <c r="V536" i="3" s="1"/>
  <c r="Z53" i="2"/>
  <c r="AB53" i="2" s="1"/>
  <c r="Z46" i="2"/>
  <c r="AB46" i="2" s="1"/>
  <c r="V459" i="3"/>
  <c r="V458" i="3" s="1"/>
  <c r="V457" i="3" s="1"/>
  <c r="V456" i="3" s="1"/>
  <c r="V455" i="3" s="1"/>
  <c r="V454" i="3" s="1"/>
  <c r="V453" i="3" s="1"/>
  <c r="V452" i="3" s="1"/>
  <c r="V451" i="3" s="1"/>
  <c r="V460" i="3" s="1"/>
  <c r="AC136" i="2"/>
  <c r="AA136" i="2" s="1"/>
  <c r="AC147" i="2"/>
  <c r="AA147" i="2" s="1"/>
  <c r="Z21" i="2"/>
  <c r="V64" i="3"/>
  <c r="V63" i="3" s="1"/>
  <c r="V62" i="3" s="1"/>
  <c r="V61" i="3" s="1"/>
  <c r="V60" i="3" s="1"/>
  <c r="V59" i="3" s="1"/>
  <c r="V58" i="3" s="1"/>
  <c r="V57" i="3" s="1"/>
  <c r="V56" i="3" s="1"/>
  <c r="V65" i="3" s="1"/>
  <c r="Z20" i="2"/>
  <c r="V54" i="3"/>
  <c r="V53" i="3" s="1"/>
  <c r="V52" i="3" s="1"/>
  <c r="V51" i="3" s="1"/>
  <c r="V50" i="3" s="1"/>
  <c r="V49" i="3" s="1"/>
  <c r="V48" i="3" s="1"/>
  <c r="V47" i="3" s="1"/>
  <c r="V46" i="3" s="1"/>
  <c r="V55" i="3" s="1"/>
  <c r="AG139" i="2"/>
  <c r="AH139" i="2" s="1"/>
  <c r="AG140" i="2"/>
  <c r="AH140" i="2" s="1"/>
  <c r="Z82" i="2"/>
  <c r="V933" i="3"/>
  <c r="V932" i="3" s="1"/>
  <c r="V931" i="3" s="1"/>
  <c r="V930" i="3" s="1"/>
  <c r="V929" i="3" s="1"/>
  <c r="V928" i="3" s="1"/>
  <c r="V926" i="3" s="1"/>
  <c r="V925" i="3" s="1"/>
  <c r="V934" i="3" s="1"/>
  <c r="AG55" i="2"/>
  <c r="AH55" i="2" s="1"/>
  <c r="AC55" i="2"/>
  <c r="AA55" i="2" s="1"/>
  <c r="Z90" i="2"/>
  <c r="AB90" i="2" s="1"/>
  <c r="V1022" i="3"/>
  <c r="V1021" i="3" s="1"/>
  <c r="V1020" i="3" s="1"/>
  <c r="V1019" i="3" s="1"/>
  <c r="V1018" i="3" s="1"/>
  <c r="V1017" i="3" s="1"/>
  <c r="V1016" i="3" s="1"/>
  <c r="V1015" i="3" s="1"/>
  <c r="V1014" i="3" s="1"/>
  <c r="V1023" i="3" s="1"/>
  <c r="Z104" i="2"/>
  <c r="V1151" i="3"/>
  <c r="V1150" i="3" s="1"/>
  <c r="V1149" i="3" s="1"/>
  <c r="V1148" i="3" s="1"/>
  <c r="V1147" i="3" s="1"/>
  <c r="V1146" i="3" s="1"/>
  <c r="V1145" i="3" s="1"/>
  <c r="V1144" i="3" s="1"/>
  <c r="V1143" i="3" s="1"/>
  <c r="V1152" i="3" s="1"/>
  <c r="R652" i="3"/>
  <c r="J651" i="3"/>
  <c r="I1844" i="3"/>
  <c r="J1887" i="3"/>
  <c r="R1887" i="3" s="1"/>
  <c r="R1892" i="3" s="1"/>
  <c r="R230" i="3"/>
  <c r="R447" i="3"/>
  <c r="Z69" i="2"/>
  <c r="V776" i="3"/>
  <c r="V775" i="3" s="1"/>
  <c r="V774" i="3" s="1"/>
  <c r="V773" i="3" s="1"/>
  <c r="V772" i="3" s="1"/>
  <c r="V771" i="3" s="1"/>
  <c r="Z118" i="2"/>
  <c r="AB118" i="2" s="1"/>
  <c r="V1380" i="3"/>
  <c r="V1379" i="3" s="1"/>
  <c r="V1378" i="3" s="1"/>
  <c r="V1377" i="3" s="1"/>
  <c r="V1376" i="3" s="1"/>
  <c r="V1375" i="3" s="1"/>
  <c r="V1374" i="3" s="1"/>
  <c r="V1373" i="3" s="1"/>
  <c r="V1372" i="3" s="1"/>
  <c r="AC141" i="2"/>
  <c r="AA141" i="2" s="1"/>
  <c r="AG141" i="2"/>
  <c r="AH141" i="2" s="1"/>
  <c r="R1925" i="3"/>
  <c r="Z155" i="2" s="1"/>
  <c r="J1924" i="3"/>
  <c r="J358" i="3"/>
  <c r="Z105" i="2"/>
  <c r="V1161" i="3"/>
  <c r="V1160" i="3" s="1"/>
  <c r="V1159" i="3" s="1"/>
  <c r="V1158" i="3" s="1"/>
  <c r="V1157" i="3" s="1"/>
  <c r="V1156" i="3" s="1"/>
  <c r="V1155" i="3" s="1"/>
  <c r="V1154" i="3" s="1"/>
  <c r="V1153" i="3" s="1"/>
  <c r="V1162" i="3" s="1"/>
  <c r="Z84" i="2"/>
  <c r="V952" i="3"/>
  <c r="V951" i="3" s="1"/>
  <c r="V950" i="3" s="1"/>
  <c r="V949" i="3" s="1"/>
  <c r="V948" i="3" s="1"/>
  <c r="V947" i="3" s="1"/>
  <c r="V945" i="3" s="1"/>
  <c r="V944" i="3" s="1"/>
  <c r="V953" i="3" s="1"/>
  <c r="R1411" i="3"/>
  <c r="J1410" i="3"/>
  <c r="R1302" i="3"/>
  <c r="J1301" i="3"/>
  <c r="Z96" i="2"/>
  <c r="AB96" i="2" s="1"/>
  <c r="V1074" i="3"/>
  <c r="V1073" i="3" s="1"/>
  <c r="V1072" i="3" s="1"/>
  <c r="V1071" i="3" s="1"/>
  <c r="V1070" i="3" s="1"/>
  <c r="V1069" i="3" s="1"/>
  <c r="V1068" i="3" s="1"/>
  <c r="V1067" i="3" s="1"/>
  <c r="V1066" i="3" s="1"/>
  <c r="V1075" i="3" s="1"/>
  <c r="R630" i="3"/>
  <c r="J629" i="3"/>
  <c r="R1604" i="3"/>
  <c r="Z131" i="2" s="1"/>
  <c r="AB145" i="2"/>
  <c r="D145" i="1"/>
  <c r="G145" i="1" s="1"/>
  <c r="AC142" i="2"/>
  <c r="AA142" i="2" s="1"/>
  <c r="AG142" i="2"/>
  <c r="AH142" i="2" s="1"/>
  <c r="AC102" i="2"/>
  <c r="AA102" i="2" s="1"/>
  <c r="AG102" i="2"/>
  <c r="AH102" i="2" s="1"/>
  <c r="J1130" i="3"/>
  <c r="R1556" i="3"/>
  <c r="Z129" i="2" s="1"/>
  <c r="J1555" i="3"/>
  <c r="R1465" i="3"/>
  <c r="Z125" i="2" s="1"/>
  <c r="J1464" i="3"/>
  <c r="R618" i="3"/>
  <c r="R831" i="3"/>
  <c r="J830" i="3"/>
  <c r="V665" i="3"/>
  <c r="V677" i="3"/>
  <c r="Z109" i="2"/>
  <c r="V1199" i="3"/>
  <c r="V1198" i="3" s="1"/>
  <c r="V1197" i="3" s="1"/>
  <c r="V1195" i="3" s="1"/>
  <c r="V1194" i="3" s="1"/>
  <c r="V1193" i="3" s="1"/>
  <c r="V1192" i="3" s="1"/>
  <c r="V1191" i="3" s="1"/>
  <c r="V1190" i="3" s="1"/>
  <c r="V1189" i="3" s="1"/>
  <c r="V1200" i="3" s="1"/>
  <c r="Z57" i="2"/>
  <c r="AB57" i="2" s="1"/>
  <c r="V577" i="3"/>
  <c r="V576" i="3" s="1"/>
  <c r="V575" i="3" s="1"/>
  <c r="V574" i="3" s="1"/>
  <c r="V573" i="3" s="1"/>
  <c r="V572" i="3" s="1"/>
  <c r="V571" i="3" s="1"/>
  <c r="V570" i="3" s="1"/>
  <c r="V569" i="3" s="1"/>
  <c r="V578" i="3" s="1"/>
  <c r="R923" i="3" l="1"/>
  <c r="Z81" i="2" s="1"/>
  <c r="AB81" i="2" s="1"/>
  <c r="AR54" i="5"/>
  <c r="BL54" i="5"/>
  <c r="BT54" i="5"/>
  <c r="BX54" i="5"/>
  <c r="AZ54" i="5"/>
  <c r="X54" i="5"/>
  <c r="BH54" i="5"/>
  <c r="BP54" i="5"/>
  <c r="CV54" i="5"/>
  <c r="P54" i="5"/>
  <c r="H54" i="5"/>
  <c r="AB54" i="5"/>
  <c r="CF54" i="5"/>
  <c r="CJ54" i="5"/>
  <c r="AJ54" i="5"/>
  <c r="BD54" i="5"/>
  <c r="CN54" i="5"/>
  <c r="AN54" i="5"/>
  <c r="CR54" i="5"/>
  <c r="L54" i="5"/>
  <c r="T54" i="5"/>
  <c r="AV54" i="5"/>
  <c r="AF54" i="5"/>
  <c r="DL54" i="5"/>
  <c r="CB54" i="5"/>
  <c r="DP54" i="5"/>
  <c r="DH57" i="5"/>
  <c r="DL57" i="5" s="1"/>
  <c r="DP57" i="5" s="1"/>
  <c r="AG83" i="2"/>
  <c r="AH83" i="2" s="1"/>
  <c r="AG47" i="2"/>
  <c r="AH47" i="2" s="1"/>
  <c r="AB155" i="2"/>
  <c r="AG155" i="2" s="1"/>
  <c r="AH155" i="2" s="1"/>
  <c r="D155" i="1"/>
  <c r="G155" i="1" s="1"/>
  <c r="AB39" i="2"/>
  <c r="D39" i="1"/>
  <c r="G39" i="1" s="1"/>
  <c r="H39" i="1" s="1"/>
  <c r="AB43" i="2"/>
  <c r="AG43" i="2" s="1"/>
  <c r="AH43" i="2" s="1"/>
  <c r="D43" i="1"/>
  <c r="G43" i="1" s="1"/>
  <c r="H43" i="1" s="1"/>
  <c r="AB84" i="2"/>
  <c r="AC84" i="2" s="1"/>
  <c r="AA84" i="2" s="1"/>
  <c r="D84" i="1"/>
  <c r="G84" i="1" s="1"/>
  <c r="H84" i="1" s="1"/>
  <c r="R1246" i="3"/>
  <c r="R1119" i="3"/>
  <c r="J1120" i="3" s="1"/>
  <c r="R892" i="3"/>
  <c r="V892" i="3" s="1"/>
  <c r="V891" i="3" s="1"/>
  <c r="V890" i="3" s="1"/>
  <c r="J891" i="3"/>
  <c r="AG25" i="2"/>
  <c r="AH25" i="2" s="1"/>
  <c r="Z124" i="2"/>
  <c r="AE25" i="2"/>
  <c r="J94" i="3"/>
  <c r="J95" i="3" s="1"/>
  <c r="AA39" i="2"/>
  <c r="V642" i="3"/>
  <c r="R407" i="3"/>
  <c r="R412" i="3" s="1"/>
  <c r="V269" i="3"/>
  <c r="V268" i="3" s="1"/>
  <c r="V267" i="3" s="1"/>
  <c r="V270" i="3" s="1"/>
  <c r="AG39" i="2"/>
  <c r="AH39" i="2" s="1"/>
  <c r="AC39" i="2"/>
  <c r="V643" i="3"/>
  <c r="D143" i="1"/>
  <c r="G143" i="1" s="1"/>
  <c r="AG143" i="2"/>
  <c r="AH143" i="2" s="1"/>
  <c r="V135" i="3"/>
  <c r="V134" i="3" s="1"/>
  <c r="V133" i="3" s="1"/>
  <c r="V136" i="3" s="1"/>
  <c r="Z58" i="2"/>
  <c r="AB58" i="2" s="1"/>
  <c r="AG58" i="2" s="1"/>
  <c r="AH58" i="2" s="1"/>
  <c r="R981" i="3"/>
  <c r="Z85" i="2" s="1"/>
  <c r="J1266" i="3"/>
  <c r="R524" i="3"/>
  <c r="Z51" i="2" s="1"/>
  <c r="J858" i="3"/>
  <c r="AC130" i="2"/>
  <c r="AA130" i="2" s="1"/>
  <c r="Z93" i="2"/>
  <c r="R1916" i="3"/>
  <c r="Z154" i="2" s="1"/>
  <c r="AB154" i="2" s="1"/>
  <c r="R1499" i="3"/>
  <c r="Z127" i="2" s="1"/>
  <c r="AB127" i="2" s="1"/>
  <c r="V1002" i="3"/>
  <c r="V1001" i="3" s="1"/>
  <c r="V1000" i="3" s="1"/>
  <c r="V999" i="3" s="1"/>
  <c r="R668" i="3"/>
  <c r="Z64" i="2" s="1"/>
  <c r="J1283" i="3"/>
  <c r="R743" i="3"/>
  <c r="Z67" i="2" s="1"/>
  <c r="Z30" i="2"/>
  <c r="AA30" i="2" s="1"/>
  <c r="V1054" i="3"/>
  <c r="V1053" i="3" s="1"/>
  <c r="V1052" i="3" s="1"/>
  <c r="AC103" i="2"/>
  <c r="AA103" i="2" s="1"/>
  <c r="V547" i="3"/>
  <c r="V546" i="3" s="1"/>
  <c r="V545" i="3" s="1"/>
  <c r="V544" i="3" s="1"/>
  <c r="V543" i="3" s="1"/>
  <c r="V542" i="3" s="1"/>
  <c r="V541" i="3" s="1"/>
  <c r="V540" i="3" s="1"/>
  <c r="V539" i="3" s="1"/>
  <c r="V548" i="3" s="1"/>
  <c r="V902" i="3"/>
  <c r="V901" i="3" s="1"/>
  <c r="V900" i="3" s="1"/>
  <c r="J1140" i="3"/>
  <c r="AC149" i="2"/>
  <c r="AA149" i="2" s="1"/>
  <c r="J1212" i="3"/>
  <c r="R607" i="3"/>
  <c r="Z60" i="2" s="1"/>
  <c r="AB60" i="2" s="1"/>
  <c r="AG60" i="2" s="1"/>
  <c r="AH60" i="2" s="1"/>
  <c r="J1185" i="3"/>
  <c r="R1313" i="3"/>
  <c r="V1313" i="3" s="1"/>
  <c r="V1312" i="3" s="1"/>
  <c r="V1311" i="3" s="1"/>
  <c r="V1310" i="3" s="1"/>
  <c r="V1314" i="3" s="1"/>
  <c r="AG27" i="2"/>
  <c r="AH27" i="2" s="1"/>
  <c r="D128" i="1"/>
  <c r="G128" i="1" s="1"/>
  <c r="V840" i="3"/>
  <c r="V839" i="3" s="1"/>
  <c r="V838" i="3" s="1"/>
  <c r="V837" i="3" s="1"/>
  <c r="V567" i="3"/>
  <c r="V566" i="3" s="1"/>
  <c r="V565" i="3" s="1"/>
  <c r="V564" i="3" s="1"/>
  <c r="V563" i="3" s="1"/>
  <c r="V562" i="3" s="1"/>
  <c r="V561" i="3" s="1"/>
  <c r="V560" i="3" s="1"/>
  <c r="V559" i="3" s="1"/>
  <c r="V568" i="3" s="1"/>
  <c r="AG128" i="2"/>
  <c r="AH128" i="2" s="1"/>
  <c r="J1400" i="3"/>
  <c r="V1174" i="3"/>
  <c r="V1173" i="3" s="1"/>
  <c r="V1172" i="3" s="1"/>
  <c r="R693" i="3"/>
  <c r="R717" i="3" s="1"/>
  <c r="AA43" i="2"/>
  <c r="Z41" i="2"/>
  <c r="AA41" i="2" s="1"/>
  <c r="R815" i="3"/>
  <c r="V815" i="3" s="1"/>
  <c r="V814" i="3" s="1"/>
  <c r="V144" i="3"/>
  <c r="V869" i="3"/>
  <c r="V856" i="3" s="1"/>
  <c r="D80" i="1"/>
  <c r="G80" i="1" s="1"/>
  <c r="H80" i="1" s="1"/>
  <c r="AC25" i="2"/>
  <c r="Z37" i="2"/>
  <c r="AA37" i="2" s="1"/>
  <c r="V145" i="3"/>
  <c r="V141" i="3"/>
  <c r="V140" i="3" s="1"/>
  <c r="V139" i="3" s="1"/>
  <c r="V138" i="3" s="1"/>
  <c r="V137" i="3" s="1"/>
  <c r="V143" i="3"/>
  <c r="Z34" i="2"/>
  <c r="D34" i="1" s="1"/>
  <c r="G34" i="1" s="1"/>
  <c r="H34" i="1" s="1"/>
  <c r="H32" i="1" s="1"/>
  <c r="V327" i="3"/>
  <c r="V326" i="3" s="1"/>
  <c r="V325" i="3" s="1"/>
  <c r="V328" i="3" s="1"/>
  <c r="V1357" i="3"/>
  <c r="V1369" i="3"/>
  <c r="AB117" i="2"/>
  <c r="D117" i="1"/>
  <c r="G117" i="1" s="1"/>
  <c r="Z123" i="2"/>
  <c r="V1421" i="3"/>
  <c r="V1420" i="3" s="1"/>
  <c r="V1419" i="3" s="1"/>
  <c r="V1418" i="3" s="1"/>
  <c r="V535" i="3"/>
  <c r="V532" i="3" s="1"/>
  <c r="V521" i="3" s="1"/>
  <c r="AC65" i="2"/>
  <c r="AA65" i="2" s="1"/>
  <c r="AG65" i="2"/>
  <c r="AH65" i="2" s="1"/>
  <c r="V756" i="3"/>
  <c r="V765" i="3"/>
  <c r="AB68" i="2"/>
  <c r="AC68" i="2" s="1"/>
  <c r="AA68" i="2" s="1"/>
  <c r="D68" i="1"/>
  <c r="G68" i="1" s="1"/>
  <c r="V1103" i="3"/>
  <c r="AB18" i="2"/>
  <c r="AA18" i="2"/>
  <c r="AG53" i="2"/>
  <c r="AH53" i="2" s="1"/>
  <c r="AC53" i="2"/>
  <c r="AA53" i="2" s="1"/>
  <c r="AC75" i="2"/>
  <c r="AA75" i="2" s="1"/>
  <c r="AG75" i="2"/>
  <c r="AH75" i="2" s="1"/>
  <c r="AG17" i="2"/>
  <c r="AH17" i="2" s="1"/>
  <c r="AC17" i="2"/>
  <c r="J21" i="3"/>
  <c r="J22" i="3" s="1"/>
  <c r="V491" i="3"/>
  <c r="V494" i="3"/>
  <c r="V1100" i="3"/>
  <c r="V1099" i="3" s="1"/>
  <c r="V1098" i="3" s="1"/>
  <c r="V1097" i="3" s="1"/>
  <c r="V1101" i="3"/>
  <c r="AC50" i="2"/>
  <c r="AA50" i="2" s="1"/>
  <c r="AG50" i="2"/>
  <c r="AH50" i="2" s="1"/>
  <c r="AB82" i="2"/>
  <c r="D82" i="1"/>
  <c r="G82" i="1" s="1"/>
  <c r="H82" i="1" s="1"/>
  <c r="AB20" i="2"/>
  <c r="AA20" i="2"/>
  <c r="AC80" i="2"/>
  <c r="AA80" i="2" s="1"/>
  <c r="J910" i="3"/>
  <c r="AG80" i="2"/>
  <c r="AH80" i="2" s="1"/>
  <c r="AG56" i="2"/>
  <c r="AH56" i="2" s="1"/>
  <c r="AC56" i="2"/>
  <c r="AA56" i="2" s="1"/>
  <c r="AG54" i="2"/>
  <c r="AH54" i="2" s="1"/>
  <c r="AC54" i="2"/>
  <c r="AA54" i="2" s="1"/>
  <c r="AC90" i="2"/>
  <c r="AA90" i="2" s="1"/>
  <c r="AG90" i="2"/>
  <c r="AH90" i="2" s="1"/>
  <c r="V371" i="3"/>
  <c r="V368" i="3"/>
  <c r="V14" i="3"/>
  <c r="AB21" i="2"/>
  <c r="AA21" i="2"/>
  <c r="AC46" i="2"/>
  <c r="AA46" i="2" s="1"/>
  <c r="AG46" i="2"/>
  <c r="AH46" i="2" s="1"/>
  <c r="AG57" i="2"/>
  <c r="AH57" i="2" s="1"/>
  <c r="AC57" i="2"/>
  <c r="AA57" i="2" s="1"/>
  <c r="Z76" i="2"/>
  <c r="V859" i="3"/>
  <c r="Z61" i="2"/>
  <c r="AB61" i="2" s="1"/>
  <c r="V618" i="3"/>
  <c r="V617" i="3" s="1"/>
  <c r="V616" i="3" s="1"/>
  <c r="V615" i="3" s="1"/>
  <c r="V613" i="3" s="1"/>
  <c r="V612" i="3" s="1"/>
  <c r="V611" i="3" s="1"/>
  <c r="V610" i="3" s="1"/>
  <c r="V609" i="3" s="1"/>
  <c r="V619" i="3" s="1"/>
  <c r="AB107" i="2"/>
  <c r="D107" i="1"/>
  <c r="G107" i="1" s="1"/>
  <c r="H107" i="1" s="1"/>
  <c r="Z110" i="2"/>
  <c r="V1213" i="3"/>
  <c r="Z113" i="2"/>
  <c r="V1284" i="3"/>
  <c r="V1283" i="3" s="1"/>
  <c r="V1282" i="3" s="1"/>
  <c r="I1763" i="3"/>
  <c r="K1844" i="3"/>
  <c r="R1844" i="3" s="1"/>
  <c r="R1847" i="3" s="1"/>
  <c r="AB104" i="2"/>
  <c r="D104" i="1"/>
  <c r="G104" i="1" s="1"/>
  <c r="H104" i="1" s="1"/>
  <c r="AA29" i="2"/>
  <c r="AB29" i="2"/>
  <c r="D29" i="1"/>
  <c r="G29" i="1" s="1"/>
  <c r="H29" i="1" s="1"/>
  <c r="Z120" i="2"/>
  <c r="AB120" i="2" s="1"/>
  <c r="V1411" i="3"/>
  <c r="V1410" i="3" s="1"/>
  <c r="V1409" i="3" s="1"/>
  <c r="V1408" i="3" s="1"/>
  <c r="V1407" i="3" s="1"/>
  <c r="V1406" i="3" s="1"/>
  <c r="V1405" i="3" s="1"/>
  <c r="V1404" i="3" s="1"/>
  <c r="V1403" i="3" s="1"/>
  <c r="V1412" i="3" s="1"/>
  <c r="AB105" i="2"/>
  <c r="D105" i="1"/>
  <c r="G105" i="1" s="1"/>
  <c r="H105" i="1" s="1"/>
  <c r="AC77" i="2"/>
  <c r="AA77" i="2" s="1"/>
  <c r="AG77" i="2"/>
  <c r="AH77" i="2" s="1"/>
  <c r="V1050" i="3"/>
  <c r="V1039" i="3"/>
  <c r="V1049" i="3" s="1"/>
  <c r="V1037" i="3" s="1"/>
  <c r="V1036" i="3" s="1"/>
  <c r="V1035" i="3" s="1"/>
  <c r="V1034" i="3" s="1"/>
  <c r="V1359" i="3"/>
  <c r="V1381" i="3"/>
  <c r="Z112" i="2"/>
  <c r="V1267" i="3"/>
  <c r="V1266" i="3" s="1"/>
  <c r="V1265" i="3" s="1"/>
  <c r="J1345" i="3"/>
  <c r="R1346" i="3"/>
  <c r="V1346" i="3" s="1"/>
  <c r="V1345" i="3" s="1"/>
  <c r="V1344" i="3" s="1"/>
  <c r="V1347" i="3" s="1"/>
  <c r="AB125" i="2"/>
  <c r="D125" i="1"/>
  <c r="G125" i="1" s="1"/>
  <c r="Z114" i="2"/>
  <c r="V1302" i="3"/>
  <c r="V1301" i="3" s="1"/>
  <c r="V1300" i="3" s="1"/>
  <c r="V1303" i="3" s="1"/>
  <c r="Z62" i="2"/>
  <c r="V630" i="3"/>
  <c r="V629" i="3" s="1"/>
  <c r="V628" i="3" s="1"/>
  <c r="Z119" i="2"/>
  <c r="AB119" i="2" s="1"/>
  <c r="V1401" i="3"/>
  <c r="V1400" i="3" s="1"/>
  <c r="V1399" i="3" s="1"/>
  <c r="AB109" i="2"/>
  <c r="D109" i="1"/>
  <c r="G109" i="1" s="1"/>
  <c r="H109" i="1" s="1"/>
  <c r="V676" i="3"/>
  <c r="V675" i="3" s="1"/>
  <c r="V674" i="3" s="1"/>
  <c r="V673" i="3" s="1"/>
  <c r="V672" i="3" s="1"/>
  <c r="V664" i="3"/>
  <c r="AA26" i="2"/>
  <c r="AB26" i="2"/>
  <c r="D26" i="1"/>
  <c r="G26" i="1" s="1"/>
  <c r="H26" i="1" s="1"/>
  <c r="AB129" i="2"/>
  <c r="D129" i="1"/>
  <c r="G129" i="1" s="1"/>
  <c r="AB131" i="2"/>
  <c r="D131" i="1"/>
  <c r="G131" i="1" s="1"/>
  <c r="AC118" i="2"/>
  <c r="AA118" i="2" s="1"/>
  <c r="AG118" i="2"/>
  <c r="AH118" i="2" s="1"/>
  <c r="V761" i="3"/>
  <c r="V770" i="3"/>
  <c r="AC88" i="2"/>
  <c r="AG88" i="2"/>
  <c r="AH88" i="2" s="1"/>
  <c r="Z28" i="2"/>
  <c r="V230" i="3"/>
  <c r="V229" i="3" s="1"/>
  <c r="V228" i="3" s="1"/>
  <c r="AB94" i="2"/>
  <c r="D94" i="1"/>
  <c r="G94" i="1" s="1"/>
  <c r="H94" i="1" s="1"/>
  <c r="AC145" i="2"/>
  <c r="AA145" i="2" s="1"/>
  <c r="AG145" i="2"/>
  <c r="AH145" i="2" s="1"/>
  <c r="Z74" i="2"/>
  <c r="V831" i="3"/>
  <c r="Z108" i="2"/>
  <c r="V1186" i="3"/>
  <c r="AB79" i="2"/>
  <c r="D79" i="1"/>
  <c r="G79" i="1" s="1"/>
  <c r="H79" i="1" s="1"/>
  <c r="AC96" i="2"/>
  <c r="AA96" i="2" s="1"/>
  <c r="AG96" i="2"/>
  <c r="AH96" i="2" s="1"/>
  <c r="J1072" i="3"/>
  <c r="J1073" i="3" s="1"/>
  <c r="J951" i="3"/>
  <c r="Z36" i="2"/>
  <c r="D36" i="1" s="1"/>
  <c r="G36" i="1" s="1"/>
  <c r="V359" i="3"/>
  <c r="V358" i="3" s="1"/>
  <c r="V357" i="3" s="1"/>
  <c r="D69" i="1"/>
  <c r="G69" i="1" s="1"/>
  <c r="AB69" i="2"/>
  <c r="J448" i="3"/>
  <c r="R449" i="3"/>
  <c r="R1894" i="3"/>
  <c r="Z152" i="2" s="1"/>
  <c r="J1893" i="3"/>
  <c r="Z63" i="2"/>
  <c r="V652" i="3"/>
  <c r="V651" i="3" s="1"/>
  <c r="V650" i="3" s="1"/>
  <c r="D81" i="1" l="1"/>
  <c r="G81" i="1" s="1"/>
  <c r="H81" i="1" s="1"/>
  <c r="V923" i="3"/>
  <c r="V922" i="3" s="1"/>
  <c r="V921" i="3" s="1"/>
  <c r="V924" i="3" s="1"/>
  <c r="J1247" i="3"/>
  <c r="R1248" i="3"/>
  <c r="Z111" i="2" s="1"/>
  <c r="AB111" i="2" s="1"/>
  <c r="EN54" i="5"/>
  <c r="H55" i="5"/>
  <c r="L55" i="5" s="1"/>
  <c r="P55" i="5" s="1"/>
  <c r="T55" i="5" s="1"/>
  <c r="X55" i="5" s="1"/>
  <c r="AB55" i="5" s="1"/>
  <c r="AF55" i="5" s="1"/>
  <c r="AJ55" i="5" s="1"/>
  <c r="AN55" i="5" s="1"/>
  <c r="AR55" i="5" s="1"/>
  <c r="AC43" i="2"/>
  <c r="AC42" i="2" s="1"/>
  <c r="AC155" i="2"/>
  <c r="AA155" i="2" s="1"/>
  <c r="AG84" i="2"/>
  <c r="AJ85" i="2" s="1"/>
  <c r="R1121" i="3"/>
  <c r="Z101" i="2" s="1"/>
  <c r="AB101" i="2" s="1"/>
  <c r="AB93" i="2"/>
  <c r="AC93" i="2" s="1"/>
  <c r="AA93" i="2" s="1"/>
  <c r="D93" i="1"/>
  <c r="G93" i="1" s="1"/>
  <c r="H93" i="1" s="1"/>
  <c r="H91" i="1" s="1"/>
  <c r="AB62" i="2"/>
  <c r="D62" i="1"/>
  <c r="G62" i="1" s="1"/>
  <c r="H62" i="1" s="1"/>
  <c r="AB124" i="2"/>
  <c r="AC124" i="2" s="1"/>
  <c r="AA124" i="2" s="1"/>
  <c r="D124" i="1"/>
  <c r="G124" i="1" s="1"/>
  <c r="AB123" i="2"/>
  <c r="AC123" i="2" s="1"/>
  <c r="AA123" i="2" s="1"/>
  <c r="D123" i="1"/>
  <c r="G123" i="1" s="1"/>
  <c r="Z78" i="2"/>
  <c r="D78" i="1" s="1"/>
  <c r="R719" i="3"/>
  <c r="Z66" i="2" s="1"/>
  <c r="AE24" i="2"/>
  <c r="AA42" i="2"/>
  <c r="DT23" i="5" s="1"/>
  <c r="J413" i="3"/>
  <c r="R414" i="3"/>
  <c r="Z40" i="2" s="1"/>
  <c r="AC58" i="2"/>
  <c r="AA58" i="2" s="1"/>
  <c r="AA52" i="2" s="1"/>
  <c r="V981" i="3"/>
  <c r="V980" i="3" s="1"/>
  <c r="AB85" i="2"/>
  <c r="V524" i="3"/>
  <c r="V523" i="3" s="1"/>
  <c r="D154" i="1"/>
  <c r="G154" i="1" s="1"/>
  <c r="D127" i="1"/>
  <c r="G127" i="1" s="1"/>
  <c r="V668" i="3"/>
  <c r="V667" i="3" s="1"/>
  <c r="V666" i="3" s="1"/>
  <c r="V743" i="3"/>
  <c r="V742" i="3" s="1"/>
  <c r="V727" i="3" s="1"/>
  <c r="D30" i="1"/>
  <c r="AB30" i="2"/>
  <c r="AC30" i="2" s="1"/>
  <c r="AB41" i="2"/>
  <c r="AG41" i="2" s="1"/>
  <c r="AH41" i="2" s="1"/>
  <c r="Z115" i="2"/>
  <c r="D115" i="1" s="1"/>
  <c r="G115" i="1" s="1"/>
  <c r="AC60" i="2"/>
  <c r="AA60" i="2" s="1"/>
  <c r="V607" i="3"/>
  <c r="V606" i="3" s="1"/>
  <c r="V598" i="3" s="1"/>
  <c r="V596" i="3" s="1"/>
  <c r="V595" i="3" s="1"/>
  <c r="V594" i="3" s="1"/>
  <c r="V593" i="3" s="1"/>
  <c r="V592" i="3" s="1"/>
  <c r="V591" i="3" s="1"/>
  <c r="V590" i="3" s="1"/>
  <c r="V1248" i="3"/>
  <c r="V1247" i="3" s="1"/>
  <c r="V1246" i="3" s="1"/>
  <c r="V1240" i="3" s="1"/>
  <c r="V1169" i="3"/>
  <c r="Z70" i="2"/>
  <c r="AB70" i="2" s="1"/>
  <c r="V868" i="3"/>
  <c r="V855" i="3" s="1"/>
  <c r="AB37" i="2"/>
  <c r="J370" i="3" s="1"/>
  <c r="J371" i="3" s="1"/>
  <c r="V175" i="3"/>
  <c r="V86" i="3" s="1"/>
  <c r="V13" i="3" s="1"/>
  <c r="V531" i="3"/>
  <c r="V530" i="3" s="1"/>
  <c r="AA34" i="2"/>
  <c r="AB34" i="2"/>
  <c r="AC117" i="2"/>
  <c r="AA117" i="2" s="1"/>
  <c r="AG117" i="2"/>
  <c r="AH117" i="2" s="1"/>
  <c r="V1356" i="3"/>
  <c r="V1368" i="3"/>
  <c r="V1355" i="3" s="1"/>
  <c r="AG123" i="2"/>
  <c r="AH123" i="2" s="1"/>
  <c r="V755" i="3"/>
  <c r="V764" i="3"/>
  <c r="V754" i="3" s="1"/>
  <c r="V1107" i="3"/>
  <c r="AG18" i="2"/>
  <c r="AH18" i="2" s="1"/>
  <c r="J31" i="3"/>
  <c r="J32" i="3" s="1"/>
  <c r="AC18" i="2"/>
  <c r="V493" i="3"/>
  <c r="V489" i="3" s="1"/>
  <c r="V490" i="3"/>
  <c r="H78" i="1"/>
  <c r="AG21" i="2"/>
  <c r="AH21" i="2" s="1"/>
  <c r="AC21" i="2"/>
  <c r="J62" i="3"/>
  <c r="J63" i="3" s="1"/>
  <c r="AG20" i="2"/>
  <c r="AH20" i="2" s="1"/>
  <c r="J52" i="3"/>
  <c r="J53" i="3" s="1"/>
  <c r="AC20" i="2"/>
  <c r="AC82" i="2"/>
  <c r="AA82" i="2" s="1"/>
  <c r="AG82" i="2"/>
  <c r="AH82" i="2" s="1"/>
  <c r="J932" i="3"/>
  <c r="V367" i="3"/>
  <c r="V370" i="3"/>
  <c r="V366" i="3" s="1"/>
  <c r="AA16" i="2"/>
  <c r="AC81" i="2"/>
  <c r="AA81" i="2" s="1"/>
  <c r="AG81" i="2"/>
  <c r="AH81" i="2" s="1"/>
  <c r="V769" i="3"/>
  <c r="V760" i="3"/>
  <c r="AC109" i="2"/>
  <c r="AA109" i="2" s="1"/>
  <c r="AG109" i="2"/>
  <c r="AH109" i="2" s="1"/>
  <c r="AC62" i="2"/>
  <c r="AA62" i="2" s="1"/>
  <c r="AG62" i="2"/>
  <c r="AH62" i="2" s="1"/>
  <c r="AB67" i="2"/>
  <c r="D67" i="1"/>
  <c r="G67" i="1" s="1"/>
  <c r="AB114" i="2"/>
  <c r="D114" i="1"/>
  <c r="G114" i="1" s="1"/>
  <c r="AB64" i="2"/>
  <c r="D64" i="1"/>
  <c r="G64" i="1" s="1"/>
  <c r="H64" i="1" s="1"/>
  <c r="AB112" i="2"/>
  <c r="D112" i="1"/>
  <c r="G112" i="1" s="1"/>
  <c r="H112" i="1" s="1"/>
  <c r="V1038" i="3"/>
  <c r="V1043" i="3" s="1"/>
  <c r="V1048" i="3"/>
  <c r="V1047" i="3" s="1"/>
  <c r="V1046" i="3" s="1"/>
  <c r="V1045" i="3" s="1"/>
  <c r="V1044" i="3" s="1"/>
  <c r="V1055" i="3" s="1"/>
  <c r="AC120" i="2"/>
  <c r="AA120" i="2" s="1"/>
  <c r="AG120" i="2"/>
  <c r="AH120" i="2" s="1"/>
  <c r="J1848" i="3"/>
  <c r="R1849" i="3"/>
  <c r="Z148" i="2" s="1"/>
  <c r="AG107" i="2"/>
  <c r="AH107" i="2" s="1"/>
  <c r="AC107" i="2"/>
  <c r="V1185" i="3"/>
  <c r="V1181" i="3"/>
  <c r="V825" i="3"/>
  <c r="V830" i="3"/>
  <c r="AB63" i="2"/>
  <c r="D63" i="1"/>
  <c r="G63" i="1" s="1"/>
  <c r="H63" i="1" s="1"/>
  <c r="AB108" i="2"/>
  <c r="D108" i="1"/>
  <c r="G108" i="1" s="1"/>
  <c r="H108" i="1" s="1"/>
  <c r="AB74" i="2"/>
  <c r="D74" i="1"/>
  <c r="G74" i="1" s="1"/>
  <c r="AG94" i="2"/>
  <c r="AH94" i="2" s="1"/>
  <c r="AC94" i="2"/>
  <c r="AA94" i="2" s="1"/>
  <c r="AA88" i="2"/>
  <c r="AC86" i="2"/>
  <c r="AG127" i="2"/>
  <c r="AH127" i="2" s="1"/>
  <c r="AC127" i="2"/>
  <c r="AA127" i="2" s="1"/>
  <c r="AC129" i="2"/>
  <c r="AA129" i="2" s="1"/>
  <c r="AG129" i="2"/>
  <c r="AH129" i="2" s="1"/>
  <c r="AG154" i="2"/>
  <c r="AH154" i="2" s="1"/>
  <c r="AC154" i="2"/>
  <c r="AA154" i="2" s="1"/>
  <c r="AC104" i="2"/>
  <c r="AA104" i="2" s="1"/>
  <c r="J1149" i="3"/>
  <c r="J1150" i="3" s="1"/>
  <c r="AG104" i="2"/>
  <c r="AH104" i="2" s="1"/>
  <c r="I1666" i="3"/>
  <c r="K1666" i="3" s="1"/>
  <c r="R1666" i="3" s="1"/>
  <c r="R1672" i="3" s="1"/>
  <c r="I1610" i="3"/>
  <c r="K1610" i="3" s="1"/>
  <c r="R1610" i="3" s="1"/>
  <c r="R1614" i="3" s="1"/>
  <c r="K1763" i="3"/>
  <c r="AB113" i="2"/>
  <c r="D113" i="1"/>
  <c r="G113" i="1" s="1"/>
  <c r="V858" i="3"/>
  <c r="V857" i="3" s="1"/>
  <c r="V846" i="3"/>
  <c r="Z45" i="2"/>
  <c r="V449" i="3"/>
  <c r="AC69" i="2"/>
  <c r="AA69" i="2" s="1"/>
  <c r="AG69" i="2"/>
  <c r="AH69" i="2" s="1"/>
  <c r="V347" i="3"/>
  <c r="V344" i="3" s="1"/>
  <c r="V343" i="3" s="1"/>
  <c r="V342" i="3" s="1"/>
  <c r="V341" i="3" s="1"/>
  <c r="V340" i="3" s="1"/>
  <c r="V339" i="3" s="1"/>
  <c r="V346" i="3"/>
  <c r="V671" i="3"/>
  <c r="V663" i="3"/>
  <c r="AC119" i="2"/>
  <c r="AA119" i="2" s="1"/>
  <c r="AG119" i="2"/>
  <c r="AH119" i="2" s="1"/>
  <c r="AC125" i="2"/>
  <c r="AA125" i="2" s="1"/>
  <c r="AG125" i="2"/>
  <c r="AH125" i="2" s="1"/>
  <c r="AC105" i="2"/>
  <c r="AA105" i="2" s="1"/>
  <c r="AG105" i="2"/>
  <c r="AH105" i="2" s="1"/>
  <c r="J1160" i="3"/>
  <c r="AG29" i="2"/>
  <c r="AH29" i="2" s="1"/>
  <c r="AC29" i="2"/>
  <c r="V786" i="3"/>
  <c r="V813" i="3"/>
  <c r="V785" i="3" s="1"/>
  <c r="V1212" i="3"/>
  <c r="V1206" i="3"/>
  <c r="AC61" i="2"/>
  <c r="AG61" i="2"/>
  <c r="AH61" i="2" s="1"/>
  <c r="AB76" i="2"/>
  <c r="D76" i="1"/>
  <c r="G76" i="1" s="1"/>
  <c r="AB152" i="2"/>
  <c r="D152" i="1"/>
  <c r="G152" i="1" s="1"/>
  <c r="AA36" i="2"/>
  <c r="AB36" i="2"/>
  <c r="AC79" i="2"/>
  <c r="AA79" i="2" s="1"/>
  <c r="AG79" i="2"/>
  <c r="AH79" i="2" s="1"/>
  <c r="J901" i="3"/>
  <c r="V1171" i="3"/>
  <c r="V1167" i="3" s="1"/>
  <c r="V1168" i="3"/>
  <c r="V1166" i="3" s="1"/>
  <c r="V1165" i="3" s="1"/>
  <c r="V1164" i="3" s="1"/>
  <c r="AB51" i="2"/>
  <c r="D51" i="1"/>
  <c r="G51" i="1" s="1"/>
  <c r="H51" i="1" s="1"/>
  <c r="AA28" i="2"/>
  <c r="AA24" i="2" s="1"/>
  <c r="AB28" i="2"/>
  <c r="D28" i="1"/>
  <c r="G28" i="1" s="1"/>
  <c r="H28" i="1" s="1"/>
  <c r="H25" i="1" s="1"/>
  <c r="AG131" i="2"/>
  <c r="AH131" i="2" s="1"/>
  <c r="AC131" i="2"/>
  <c r="AA131" i="2" s="1"/>
  <c r="AG26" i="2"/>
  <c r="AH26" i="2" s="1"/>
  <c r="AC26" i="2"/>
  <c r="AB110" i="2"/>
  <c r="D110" i="1"/>
  <c r="G110" i="1" s="1"/>
  <c r="H110" i="1" s="1"/>
  <c r="D111" i="1" l="1"/>
  <c r="G111" i="1" s="1"/>
  <c r="H111" i="1" s="1"/>
  <c r="EN55" i="5"/>
  <c r="AV55" i="5"/>
  <c r="AZ55" i="5" s="1"/>
  <c r="BD55" i="5" s="1"/>
  <c r="BH55" i="5" s="1"/>
  <c r="BL55" i="5" s="1"/>
  <c r="BP55" i="5" s="1"/>
  <c r="BT55" i="5" s="1"/>
  <c r="BX55" i="5" s="1"/>
  <c r="CB55" i="5" s="1"/>
  <c r="CF55" i="5" s="1"/>
  <c r="CJ55" i="5" s="1"/>
  <c r="CN55" i="5" s="1"/>
  <c r="CR55" i="5" s="1"/>
  <c r="CV55" i="5" s="1"/>
  <c r="CZ55" i="5" s="1"/>
  <c r="DD55" i="5" s="1"/>
  <c r="DH55" i="5" s="1"/>
  <c r="DL55" i="5" s="1"/>
  <c r="DP55" i="5" s="1"/>
  <c r="AG93" i="2"/>
  <c r="AH93" i="2" s="1"/>
  <c r="AA91" i="2"/>
  <c r="AG124" i="2"/>
  <c r="AH124" i="2" s="1"/>
  <c r="AA31" i="2"/>
  <c r="V1121" i="3"/>
  <c r="V1120" i="3" s="1"/>
  <c r="V1119" i="3" s="1"/>
  <c r="V1112" i="3" s="1"/>
  <c r="V1110" i="3" s="1"/>
  <c r="V1109" i="3" s="1"/>
  <c r="V1108" i="3" s="1"/>
  <c r="V1122" i="3" s="1"/>
  <c r="D101" i="1"/>
  <c r="G101" i="1" s="1"/>
  <c r="H101" i="1" s="1"/>
  <c r="AH84" i="2"/>
  <c r="AB40" i="2"/>
  <c r="AG40" i="2" s="1"/>
  <c r="AH40" i="2" s="1"/>
  <c r="D40" i="1"/>
  <c r="G40" i="1" s="1"/>
  <c r="H40" i="1" s="1"/>
  <c r="AB78" i="2"/>
  <c r="AC78" i="2" s="1"/>
  <c r="AA78" i="2" s="1"/>
  <c r="V719" i="3"/>
  <c r="V718" i="3" s="1"/>
  <c r="V717" i="3" s="1"/>
  <c r="V685" i="3" s="1"/>
  <c r="V684" i="3" s="1"/>
  <c r="AB66" i="2"/>
  <c r="J718" i="3"/>
  <c r="AA86" i="2"/>
  <c r="DT41" i="5" s="1"/>
  <c r="DT22" i="5"/>
  <c r="EN23" i="5"/>
  <c r="EN22" i="5" s="1"/>
  <c r="ER23" i="5"/>
  <c r="ES23" i="5" s="1"/>
  <c r="DX23" i="5" s="1"/>
  <c r="DX22" i="5" s="1"/>
  <c r="V414" i="3"/>
  <c r="V413" i="3" s="1"/>
  <c r="V412" i="3" s="1"/>
  <c r="V406" i="3" s="1"/>
  <c r="AA40" i="2"/>
  <c r="V970" i="3"/>
  <c r="AC52" i="2"/>
  <c r="D85" i="1"/>
  <c r="G85" i="1" s="1"/>
  <c r="H85" i="1" s="1"/>
  <c r="H83" i="1" s="1"/>
  <c r="AC91" i="2"/>
  <c r="V505" i="3"/>
  <c r="V512" i="3"/>
  <c r="V741" i="3"/>
  <c r="V726" i="3" s="1"/>
  <c r="V725" i="3" s="1"/>
  <c r="V724" i="3" s="1"/>
  <c r="V723" i="3" s="1"/>
  <c r="V722" i="3" s="1"/>
  <c r="V721" i="3" s="1"/>
  <c r="V744" i="3" s="1"/>
  <c r="AG30" i="2"/>
  <c r="AH30" i="2" s="1"/>
  <c r="V520" i="3"/>
  <c r="V605" i="3"/>
  <c r="V597" i="3" s="1"/>
  <c r="V608" i="3" s="1"/>
  <c r="V589" i="3" s="1"/>
  <c r="V867" i="3"/>
  <c r="V854" i="3" s="1"/>
  <c r="AC41" i="2"/>
  <c r="AB115" i="2"/>
  <c r="AC115" i="2" s="1"/>
  <c r="AA115" i="2" s="1"/>
  <c r="D70" i="1"/>
  <c r="G70" i="1" s="1"/>
  <c r="AG37" i="2"/>
  <c r="AH37" i="2" s="1"/>
  <c r="AC37" i="2"/>
  <c r="AC34" i="2"/>
  <c r="AG34" i="2"/>
  <c r="AH34" i="2" s="1"/>
  <c r="V749" i="3"/>
  <c r="V748" i="3" s="1"/>
  <c r="V747" i="3" s="1"/>
  <c r="V746" i="3" s="1"/>
  <c r="V745" i="3" s="1"/>
  <c r="V753" i="3"/>
  <c r="V751" i="3"/>
  <c r="V750" i="3" s="1"/>
  <c r="AC16" i="2"/>
  <c r="V1188" i="3"/>
  <c r="V360" i="3"/>
  <c r="V519" i="3"/>
  <c r="V529" i="3"/>
  <c r="V365" i="3"/>
  <c r="V364" i="3"/>
  <c r="V363" i="3" s="1"/>
  <c r="V362" i="3" s="1"/>
  <c r="V361" i="3" s="1"/>
  <c r="DT17" i="5"/>
  <c r="AC110" i="2"/>
  <c r="AA110" i="2" s="1"/>
  <c r="AG110" i="2"/>
  <c r="AH110" i="2" s="1"/>
  <c r="AC70" i="2"/>
  <c r="AA70" i="2" s="1"/>
  <c r="AG70" i="2"/>
  <c r="AH70" i="2" s="1"/>
  <c r="AC111" i="2"/>
  <c r="AA111" i="2" s="1"/>
  <c r="AG111" i="2"/>
  <c r="AH111" i="2" s="1"/>
  <c r="AC152" i="2"/>
  <c r="AA152" i="2" s="1"/>
  <c r="AG152" i="2"/>
  <c r="AH152" i="2" s="1"/>
  <c r="AC76" i="2"/>
  <c r="AA76" i="2" s="1"/>
  <c r="AG76" i="2"/>
  <c r="AH76" i="2" s="1"/>
  <c r="V1205" i="3"/>
  <c r="V1203" i="3" s="1"/>
  <c r="V1202" i="3" s="1"/>
  <c r="V1201" i="3" s="1"/>
  <c r="V1211" i="3"/>
  <c r="AB45" i="2"/>
  <c r="D45" i="1"/>
  <c r="G45" i="1" s="1"/>
  <c r="H45" i="1" s="1"/>
  <c r="H44" i="1" s="1"/>
  <c r="J1615" i="3"/>
  <c r="R1616" i="3"/>
  <c r="Z132" i="2" s="1"/>
  <c r="AC108" i="2"/>
  <c r="AA108" i="2" s="1"/>
  <c r="AG108" i="2"/>
  <c r="AH108" i="2" s="1"/>
  <c r="V824" i="3"/>
  <c r="V829" i="3"/>
  <c r="AG28" i="2"/>
  <c r="AH28" i="2" s="1"/>
  <c r="AC28" i="2"/>
  <c r="AC24" i="2" s="1"/>
  <c r="AG36" i="2"/>
  <c r="AH36" i="2" s="1"/>
  <c r="AC36" i="2"/>
  <c r="V969" i="3"/>
  <c r="V979" i="3"/>
  <c r="V967" i="3" s="1"/>
  <c r="V966" i="3" s="1"/>
  <c r="J1673" i="3"/>
  <c r="R1674" i="3"/>
  <c r="Z137" i="2" s="1"/>
  <c r="AB148" i="2"/>
  <c r="D148" i="1"/>
  <c r="G148" i="1" s="1"/>
  <c r="AC64" i="2"/>
  <c r="AA64" i="2" s="1"/>
  <c r="AG64" i="2"/>
  <c r="AH64" i="2" s="1"/>
  <c r="AC51" i="2"/>
  <c r="AG51" i="2"/>
  <c r="AH51" i="2" s="1"/>
  <c r="AA61" i="2"/>
  <c r="V783" i="3"/>
  <c r="V782" i="3"/>
  <c r="V781" i="3" s="1"/>
  <c r="V780" i="3" s="1"/>
  <c r="V779" i="3" s="1"/>
  <c r="V778" i="3" s="1"/>
  <c r="V784" i="3"/>
  <c r="AC113" i="2"/>
  <c r="AA113" i="2" s="1"/>
  <c r="AG113" i="2"/>
  <c r="AH113" i="2" s="1"/>
  <c r="AC74" i="2"/>
  <c r="AG74" i="2"/>
  <c r="AH74" i="2" s="1"/>
  <c r="AC63" i="2"/>
  <c r="AA63" i="2" s="1"/>
  <c r="AG63" i="2"/>
  <c r="AH63" i="2" s="1"/>
  <c r="V768" i="3"/>
  <c r="V759" i="3"/>
  <c r="AC85" i="2"/>
  <c r="AA85" i="2" s="1"/>
  <c r="AG85" i="2"/>
  <c r="AH85" i="2" s="1"/>
  <c r="AC101" i="2"/>
  <c r="AG101" i="2"/>
  <c r="AH101" i="2" s="1"/>
  <c r="AB99" i="2"/>
  <c r="V670" i="3"/>
  <c r="V662" i="3"/>
  <c r="V504" i="3"/>
  <c r="V522" i="3"/>
  <c r="V511" i="3"/>
  <c r="V445" i="3"/>
  <c r="V442" i="3" s="1"/>
  <c r="V448" i="3"/>
  <c r="DT44" i="5"/>
  <c r="V1184" i="3"/>
  <c r="V1179" i="3" s="1"/>
  <c r="V1177" i="3" s="1"/>
  <c r="V1176" i="3" s="1"/>
  <c r="V1175" i="3" s="1"/>
  <c r="V1180" i="3"/>
  <c r="AA107" i="2"/>
  <c r="AG112" i="2"/>
  <c r="AH112" i="2" s="1"/>
  <c r="AC112" i="2"/>
  <c r="AA112" i="2" s="1"/>
  <c r="AC114" i="2"/>
  <c r="AA114" i="2" s="1"/>
  <c r="AG114" i="2"/>
  <c r="AH114" i="2" s="1"/>
  <c r="AC67" i="2"/>
  <c r="AA67" i="2" s="1"/>
  <c r="AG67" i="2"/>
  <c r="AH67" i="2" s="1"/>
  <c r="H98" i="1" l="1"/>
  <c r="H77" i="1" s="1"/>
  <c r="H76" i="1" s="1"/>
  <c r="H75" i="1" s="1"/>
  <c r="H74" i="1" s="1"/>
  <c r="H73" i="1" s="1"/>
  <c r="H72" i="1" s="1"/>
  <c r="H70" i="1" s="1"/>
  <c r="H69" i="1" s="1"/>
  <c r="H68" i="1" s="1"/>
  <c r="H67" i="1" s="1"/>
  <c r="H66" i="1" s="1"/>
  <c r="H65" i="1" s="1"/>
  <c r="H56" i="1" s="1"/>
  <c r="AC40" i="2"/>
  <c r="V1096" i="3"/>
  <c r="AG78" i="2"/>
  <c r="AH78" i="2" s="1"/>
  <c r="D66" i="1"/>
  <c r="G66" i="1" s="1"/>
  <c r="AA106" i="2"/>
  <c r="DT50" i="5" s="1"/>
  <c r="ER41" i="5"/>
  <c r="ES41" i="5" s="1"/>
  <c r="EB41" i="5" s="1"/>
  <c r="EB40" i="5" s="1"/>
  <c r="DT40" i="5"/>
  <c r="EN41" i="5"/>
  <c r="EN40" i="5" s="1"/>
  <c r="EJ23" i="5"/>
  <c r="EJ22" i="5" s="1"/>
  <c r="EF23" i="5"/>
  <c r="EF22" i="5" s="1"/>
  <c r="EB23" i="5"/>
  <c r="EB22" i="5" s="1"/>
  <c r="V411" i="3"/>
  <c r="V405" i="3" s="1"/>
  <c r="V403" i="3" s="1"/>
  <c r="V402" i="3" s="1"/>
  <c r="V401" i="3" s="1"/>
  <c r="V400" i="3" s="1"/>
  <c r="V408" i="3"/>
  <c r="V866" i="3"/>
  <c r="V853" i="3" s="1"/>
  <c r="AG115" i="2"/>
  <c r="AH115" i="2" s="1"/>
  <c r="V518" i="3"/>
  <c r="V517" i="3"/>
  <c r="V528" i="3"/>
  <c r="AC106" i="2"/>
  <c r="V816" i="3"/>
  <c r="V373" i="3"/>
  <c r="AA101" i="2"/>
  <c r="AC99" i="2"/>
  <c r="V777" i="3"/>
  <c r="V758" i="3"/>
  <c r="AA74" i="2"/>
  <c r="AA73" i="2" s="1"/>
  <c r="AC73" i="2"/>
  <c r="V963" i="3"/>
  <c r="V955" i="3" s="1"/>
  <c r="V954" i="3" s="1"/>
  <c r="V965" i="3"/>
  <c r="V661" i="3"/>
  <c r="V648" i="3" s="1"/>
  <c r="V679" i="3"/>
  <c r="AC66" i="2"/>
  <c r="AA66" i="2" s="1"/>
  <c r="AG66" i="2"/>
  <c r="AH66" i="2" s="1"/>
  <c r="AC45" i="2"/>
  <c r="AG45" i="2"/>
  <c r="AH45" i="2" s="1"/>
  <c r="AB137" i="2"/>
  <c r="D137" i="1"/>
  <c r="G137" i="1" s="1"/>
  <c r="AB132" i="2"/>
  <c r="D132" i="1"/>
  <c r="G132" i="1" s="1"/>
  <c r="EN44" i="5"/>
  <c r="EN43" i="5" s="1"/>
  <c r="ER44" i="5"/>
  <c r="ES44" i="5" s="1"/>
  <c r="DT43" i="5"/>
  <c r="V510" i="3"/>
  <c r="V503" i="3"/>
  <c r="AA51" i="2"/>
  <c r="AC49" i="2"/>
  <c r="V444" i="3"/>
  <c r="V447" i="3"/>
  <c r="V443" i="3" s="1"/>
  <c r="AC148" i="2"/>
  <c r="AA148" i="2" s="1"/>
  <c r="AG148" i="2"/>
  <c r="AH148" i="2" s="1"/>
  <c r="DT16" i="5"/>
  <c r="EN17" i="5"/>
  <c r="ER17" i="5"/>
  <c r="ES17" i="5" s="1"/>
  <c r="EJ41" i="5" l="1"/>
  <c r="EJ40" i="5" s="1"/>
  <c r="EF41" i="5"/>
  <c r="EF40" i="5" s="1"/>
  <c r="DX41" i="5"/>
  <c r="AA99" i="2"/>
  <c r="DT47" i="5" s="1"/>
  <c r="AA59" i="2"/>
  <c r="DT35" i="5" s="1"/>
  <c r="ET23" i="5"/>
  <c r="EU23" i="5" s="1"/>
  <c r="AA49" i="2"/>
  <c r="DT29" i="5" s="1"/>
  <c r="V870" i="3"/>
  <c r="V516" i="3"/>
  <c r="V527" i="3"/>
  <c r="DX17" i="5"/>
  <c r="EB17" i="5"/>
  <c r="EJ17" i="5"/>
  <c r="EF17" i="5"/>
  <c r="V502" i="3"/>
  <c r="V501" i="3"/>
  <c r="V500" i="3" s="1"/>
  <c r="V499" i="3" s="1"/>
  <c r="V498" i="3" s="1"/>
  <c r="V497" i="3" s="1"/>
  <c r="EN16" i="5"/>
  <c r="AC132" i="2"/>
  <c r="AA132" i="2" s="1"/>
  <c r="AG132" i="2"/>
  <c r="AH132" i="2" s="1"/>
  <c r="AA45" i="2"/>
  <c r="AA44" i="2" s="1"/>
  <c r="AC44" i="2"/>
  <c r="V982" i="3"/>
  <c r="DT38" i="5"/>
  <c r="EB44" i="5"/>
  <c r="EB43" i="5" s="1"/>
  <c r="EJ44" i="5"/>
  <c r="EJ43" i="5" s="1"/>
  <c r="DX44" i="5"/>
  <c r="EF44" i="5"/>
  <c r="EF43" i="5" s="1"/>
  <c r="EN50" i="5"/>
  <c r="EN49" i="5" s="1"/>
  <c r="ER50" i="5"/>
  <c r="ES50" i="5" s="1"/>
  <c r="DT49" i="5"/>
  <c r="AC137" i="2"/>
  <c r="AA137" i="2" s="1"/>
  <c r="AG137" i="2"/>
  <c r="AH137" i="2" s="1"/>
  <c r="AC59" i="2"/>
  <c r="AA156" i="2" l="1"/>
  <c r="DT53" i="5" s="1"/>
  <c r="AA121" i="2"/>
  <c r="ET41" i="5"/>
  <c r="EU41" i="5" s="1"/>
  <c r="DX40" i="5"/>
  <c r="DT46" i="5"/>
  <c r="ER47" i="5"/>
  <c r="ES47" i="5" s="1"/>
  <c r="EF47" i="5" s="1"/>
  <c r="EF46" i="5" s="1"/>
  <c r="EN47" i="5"/>
  <c r="EN46" i="5" s="1"/>
  <c r="EN35" i="5"/>
  <c r="EN34" i="5" s="1"/>
  <c r="DT34" i="5"/>
  <c r="ER35" i="5"/>
  <c r="ES35" i="5" s="1"/>
  <c r="EB35" i="5" s="1"/>
  <c r="EB34" i="5" s="1"/>
  <c r="ER29" i="5"/>
  <c r="ES29" i="5" s="1"/>
  <c r="DX29" i="5" s="1"/>
  <c r="DT28" i="5"/>
  <c r="EN29" i="5"/>
  <c r="EN28" i="5" s="1"/>
  <c r="V515" i="3"/>
  <c r="V538" i="3"/>
  <c r="V526" i="3" s="1"/>
  <c r="V508" i="3"/>
  <c r="DT26" i="5"/>
  <c r="EJ16" i="5"/>
  <c r="EB16" i="5"/>
  <c r="DX16" i="5"/>
  <c r="ET17" i="5"/>
  <c r="EU17" i="5" s="1"/>
  <c r="EJ50" i="5"/>
  <c r="EJ49" i="5" s="1"/>
  <c r="EB50" i="5"/>
  <c r="EB49" i="5" s="1"/>
  <c r="DX50" i="5"/>
  <c r="EF50" i="5"/>
  <c r="EF49" i="5" s="1"/>
  <c r="DX43" i="5"/>
  <c r="ET44" i="5"/>
  <c r="EU44" i="5" s="1"/>
  <c r="ER38" i="5"/>
  <c r="ES38" i="5" s="1"/>
  <c r="EN38" i="5"/>
  <c r="EN37" i="5" s="1"/>
  <c r="DT37" i="5"/>
  <c r="EF16" i="5"/>
  <c r="DX47" i="5" l="1"/>
  <c r="DX46" i="5" s="1"/>
  <c r="EB47" i="5"/>
  <c r="EB46" i="5" s="1"/>
  <c r="EJ47" i="5"/>
  <c r="EJ46" i="5" s="1"/>
  <c r="EJ35" i="5"/>
  <c r="EJ34" i="5" s="1"/>
  <c r="EF35" i="5"/>
  <c r="EF34" i="5" s="1"/>
  <c r="DX35" i="5"/>
  <c r="EJ29" i="5"/>
  <c r="EJ28" i="5" s="1"/>
  <c r="EB29" i="5"/>
  <c r="EB28" i="5" s="1"/>
  <c r="EF29" i="5"/>
  <c r="EF28" i="5" s="1"/>
  <c r="V514" i="3"/>
  <c r="V507" i="3"/>
  <c r="EN53" i="5"/>
  <c r="EN52" i="5" s="1"/>
  <c r="ER53" i="5"/>
  <c r="ES53" i="5" s="1"/>
  <c r="DT52" i="5"/>
  <c r="DX28" i="5"/>
  <c r="EF38" i="5"/>
  <c r="EF37" i="5" s="1"/>
  <c r="EJ38" i="5"/>
  <c r="EJ37" i="5" s="1"/>
  <c r="EB38" i="5"/>
  <c r="EB37" i="5" s="1"/>
  <c r="DX38" i="5"/>
  <c r="DX49" i="5"/>
  <c r="ET50" i="5"/>
  <c r="EU50" i="5" s="1"/>
  <c r="DX34" i="5"/>
  <c r="ER26" i="5"/>
  <c r="ES26" i="5" s="1"/>
  <c r="DT25" i="5"/>
  <c r="EN26" i="5"/>
  <c r="ET47" i="5" l="1"/>
  <c r="EU47" i="5" s="1"/>
  <c r="ET35" i="5"/>
  <c r="EU35" i="5" s="1"/>
  <c r="ET29" i="5"/>
  <c r="EU29" i="5" s="1"/>
  <c r="DX37" i="5"/>
  <c r="ET38" i="5"/>
  <c r="EU38" i="5" s="1"/>
  <c r="EN25" i="5"/>
  <c r="DX53" i="5"/>
  <c r="EB53" i="5"/>
  <c r="EB52" i="5" s="1"/>
  <c r="EF53" i="5"/>
  <c r="EF52" i="5" s="1"/>
  <c r="EJ53" i="5"/>
  <c r="EJ52" i="5" s="1"/>
  <c r="DX26" i="5"/>
  <c r="EF26" i="5"/>
  <c r="EJ26" i="5"/>
  <c r="EB26" i="5"/>
  <c r="EF25" i="5" l="1"/>
  <c r="DX25" i="5"/>
  <c r="ET26" i="5"/>
  <c r="EU26" i="5" s="1"/>
  <c r="EB25" i="5"/>
  <c r="EJ25" i="5"/>
  <c r="DX52" i="5"/>
  <c r="ET53" i="5"/>
  <c r="EU53" i="5" s="1"/>
  <c r="J386" i="3" l="1"/>
  <c r="R387" i="3"/>
  <c r="Z38" i="2" l="1"/>
  <c r="V387" i="3"/>
  <c r="V386" i="3" s="1"/>
  <c r="V385" i="3" l="1"/>
  <c r="V409" i="3"/>
  <c r="V415" i="3" s="1"/>
  <c r="D38" i="1"/>
  <c r="G38" i="1" s="1"/>
  <c r="H38" i="1" s="1"/>
  <c r="H37" i="1" s="1"/>
  <c r="Z33" i="2"/>
  <c r="AA38" i="2"/>
  <c r="AA33" i="2" s="1"/>
  <c r="AB38" i="2"/>
  <c r="AA71" i="2" l="1"/>
  <c r="AA161" i="2" s="1"/>
  <c r="AG38" i="2"/>
  <c r="AH38" i="2" s="1"/>
  <c r="AH158" i="2" s="1"/>
  <c r="AB33" i="2"/>
  <c r="AC38" i="2"/>
  <c r="AC33" i="2" s="1"/>
  <c r="DT20" i="5"/>
  <c r="V388" i="3"/>
  <c r="V311" i="3" s="1"/>
  <c r="V310" i="3" s="1"/>
  <c r="AA167" i="2" l="1"/>
  <c r="EN20" i="5"/>
  <c r="ER20" i="5"/>
  <c r="ES20" i="5" s="1"/>
  <c r="DT19" i="5"/>
  <c r="DT56" i="5"/>
  <c r="AC71" i="2"/>
  <c r="EF20" i="5" l="1"/>
  <c r="EJ20" i="5"/>
  <c r="EB20" i="5"/>
  <c r="DX20" i="5"/>
  <c r="DT57" i="5"/>
  <c r="DT54" i="5"/>
  <c r="DT55" i="5" s="1"/>
  <c r="EN19" i="5"/>
  <c r="EN56" i="5"/>
  <c r="DX19" i="5" l="1"/>
  <c r="DX56" i="5"/>
  <c r="DX54" i="5" s="1"/>
  <c r="DX55" i="5" s="1"/>
  <c r="ET20" i="5"/>
  <c r="EU20" i="5" s="1"/>
  <c r="EB19" i="5"/>
  <c r="EB56" i="5"/>
  <c r="EB54" i="5" s="1"/>
  <c r="EJ19" i="5"/>
  <c r="EJ56" i="5"/>
  <c r="EJ54" i="5" s="1"/>
  <c r="EF19" i="5"/>
  <c r="EF56" i="5"/>
  <c r="EF54" i="5" s="1"/>
  <c r="DX57" i="5" l="1"/>
  <c r="EB57" i="5" s="1"/>
  <c r="EF57" i="5" s="1"/>
  <c r="EJ57" i="5" s="1"/>
  <c r="EB55" i="5"/>
  <c r="EF55" i="5" s="1"/>
  <c r="EJ55" i="5" s="1"/>
  <c r="V817" i="3" l="1"/>
  <c r="V818" i="3"/>
  <c r="V506" i="3"/>
  <c r="V525" i="3"/>
  <c r="V513" i="3"/>
  <c r="V1371" i="3"/>
  <c r="V1358" i="3"/>
  <c r="V1214" i="3"/>
  <c r="V1207" i="3"/>
  <c r="V1163" i="3"/>
  <c r="V450" i="3"/>
  <c r="V446" i="3"/>
  <c r="V437" i="3"/>
  <c r="V487" i="3"/>
  <c r="V488" i="3"/>
  <c r="V1249" i="3"/>
  <c r="V1243" i="3"/>
  <c r="I71" i="2"/>
  <c r="V1262" i="3"/>
  <c r="V1268" i="3"/>
  <c r="V1261" i="3"/>
  <c r="V757" i="3"/>
  <c r="V767" i="3"/>
  <c r="V847" i="3"/>
  <c r="V860" i="3"/>
  <c r="V822" i="3"/>
  <c r="V821" i="3"/>
  <c r="V820" i="3"/>
  <c r="V819" i="3"/>
  <c r="V832" i="3"/>
  <c r="V826" i="3"/>
  <c r="V823" i="3"/>
  <c r="V496" i="3"/>
  <c r="V492" i="3"/>
  <c r="V486" i="3"/>
  <c r="V485" i="3"/>
  <c r="V484" i="3"/>
  <c r="V483" i="3"/>
  <c r="V482" i="3"/>
  <c r="V481" i="3"/>
</calcChain>
</file>

<file path=xl/sharedStrings.xml><?xml version="1.0" encoding="utf-8"?>
<sst xmlns="http://schemas.openxmlformats.org/spreadsheetml/2006/main" count="7031" uniqueCount="1208">
  <si>
    <t>GOVERNO DO ESTADO DO ESPÍRITO SANTO
Secretaria de Estado de Saneamento, Habitação e Desenvolvimento Urbano - SEDURB
Departamento de Edificações e de Rodovias do Espírito Santo - DER-ES</t>
  </si>
  <si>
    <t xml:space="preserve">EMPREITEIRA: </t>
  </si>
  <si>
    <t>Comér Construtora e Incorporadora Ltda</t>
  </si>
  <si>
    <t xml:space="preserve">TRECHO:  </t>
  </si>
  <si>
    <t xml:space="preserve">DESCRIÇÃO: </t>
  </si>
  <si>
    <t xml:space="preserve">CONTR.  N°.: </t>
  </si>
  <si>
    <t>050/2022</t>
  </si>
  <si>
    <t>ASSINATURA:</t>
  </si>
  <si>
    <t>PERÍODO DE EXECUÇÃO:</t>
  </si>
  <si>
    <t>1.0</t>
  </si>
  <si>
    <t>1.1</t>
  </si>
  <si>
    <t>1.1.1</t>
  </si>
  <si>
    <t>1.1.2</t>
  </si>
  <si>
    <t>1.1.3</t>
  </si>
  <si>
    <t>1.1.4</t>
  </si>
  <si>
    <t>1.1.5</t>
  </si>
  <si>
    <t>1.1.6</t>
  </si>
  <si>
    <t>1.1.7</t>
  </si>
  <si>
    <t>1.2</t>
  </si>
  <si>
    <t>1.2.1</t>
  </si>
  <si>
    <t>1.2.2</t>
  </si>
  <si>
    <t>1.2.3</t>
  </si>
  <si>
    <t>1.2.4</t>
  </si>
  <si>
    <t>1.2.5</t>
  </si>
  <si>
    <t>1.2.6</t>
  </si>
  <si>
    <t>2.0</t>
  </si>
  <si>
    <t>2.1</t>
  </si>
  <si>
    <t>2.1.1</t>
  </si>
  <si>
    <t>2.1.2</t>
  </si>
  <si>
    <t>2.1.3</t>
  </si>
  <si>
    <t>2.1.4</t>
  </si>
  <si>
    <t>2.1.5</t>
  </si>
  <si>
    <t>2.1.6</t>
  </si>
  <si>
    <t>2.1.7</t>
  </si>
  <si>
    <t>2.1.8</t>
  </si>
  <si>
    <t>2.2</t>
  </si>
  <si>
    <t>2.2.1</t>
  </si>
  <si>
    <t>2.3</t>
  </si>
  <si>
    <t>2.3.1</t>
  </si>
  <si>
    <t>un</t>
  </si>
  <si>
    <t>2.3.2</t>
  </si>
  <si>
    <t>2.3.3</t>
  </si>
  <si>
    <t>2.3.4</t>
  </si>
  <si>
    <t>2.4</t>
  </si>
  <si>
    <t>2.4.1</t>
  </si>
  <si>
    <t>2.4.2</t>
  </si>
  <si>
    <t>2.4.3</t>
  </si>
  <si>
    <t>2.4.3.1</t>
  </si>
  <si>
    <t>2.4.3.2</t>
  </si>
  <si>
    <t>2.4.3.3</t>
  </si>
  <si>
    <t>2.4.3.4</t>
  </si>
  <si>
    <t>2.4.3.5</t>
  </si>
  <si>
    <t>2.4.3.6</t>
  </si>
  <si>
    <t>2.5</t>
  </si>
  <si>
    <t>2.5.1</t>
  </si>
  <si>
    <t>2.5.2</t>
  </si>
  <si>
    <t>2.5.3</t>
  </si>
  <si>
    <t>2.5.4</t>
  </si>
  <si>
    <t>2.5.5</t>
  </si>
  <si>
    <t>2.5.6</t>
  </si>
  <si>
    <t>2.5.7</t>
  </si>
  <si>
    <t>2.5.8</t>
  </si>
  <si>
    <t>2.5.9</t>
  </si>
  <si>
    <t>2.5.10</t>
  </si>
  <si>
    <t>2.5.11</t>
  </si>
  <si>
    <t>3.0</t>
  </si>
  <si>
    <t>3.1</t>
  </si>
  <si>
    <t>3.1.1</t>
  </si>
  <si>
    <t>3.1.2</t>
  </si>
  <si>
    <t>3.1.3</t>
  </si>
  <si>
    <t>3.1.4</t>
  </si>
  <si>
    <t>3.1.5</t>
  </si>
  <si>
    <t>3.1.6</t>
  </si>
  <si>
    <t>3.1.7</t>
  </si>
  <si>
    <t>3.1.8</t>
  </si>
  <si>
    <t>3.1.9</t>
  </si>
  <si>
    <t>3.1.10</t>
  </si>
  <si>
    <t>3.1.11</t>
  </si>
  <si>
    <t>3.1.12</t>
  </si>
  <si>
    <t>3.2</t>
  </si>
  <si>
    <t>3.2.1</t>
  </si>
  <si>
    <t>3.2.2</t>
  </si>
  <si>
    <t>3.2.3</t>
  </si>
  <si>
    <t>3.2.4</t>
  </si>
  <si>
    <t>3.3</t>
  </si>
  <si>
    <t>3.3.1</t>
  </si>
  <si>
    <t>3.3.2</t>
  </si>
  <si>
    <t>3.3.3</t>
  </si>
  <si>
    <t>3.3.4</t>
  </si>
  <si>
    <t>3.3.5</t>
  </si>
  <si>
    <t>3.3.6</t>
  </si>
  <si>
    <t>3.3.7</t>
  </si>
  <si>
    <t>3.4</t>
  </si>
  <si>
    <t>3.4.1</t>
  </si>
  <si>
    <t>3.4.2</t>
  </si>
  <si>
    <t>3.4.3</t>
  </si>
  <si>
    <t>3.4.4</t>
  </si>
  <si>
    <t>3.4.5</t>
  </si>
  <si>
    <t>3.4.6</t>
  </si>
  <si>
    <t>3.5</t>
  </si>
  <si>
    <t>3.5.1</t>
  </si>
  <si>
    <t>3.5.2</t>
  </si>
  <si>
    <t>3.5.3</t>
  </si>
  <si>
    <t>3.5.4</t>
  </si>
  <si>
    <t>3.5.5</t>
  </si>
  <si>
    <t>3.5.6</t>
  </si>
  <si>
    <t>3.5.7</t>
  </si>
  <si>
    <t>3.5.8</t>
  </si>
  <si>
    <t>3.5.9</t>
  </si>
  <si>
    <t>3.5.10</t>
  </si>
  <si>
    <t>3.5.11</t>
  </si>
  <si>
    <t>3.5.12</t>
  </si>
  <si>
    <t>3.5.13</t>
  </si>
  <si>
    <t>___________________________________</t>
  </si>
  <si>
    <t>INFORMAÇÕES GERAIS DA MEDIÇÃO</t>
  </si>
  <si>
    <t>EMPREITEIRA</t>
  </si>
  <si>
    <t>SUPERVISORA</t>
  </si>
  <si>
    <r>
      <t xml:space="preserve">TRECHO: </t>
    </r>
    <r>
      <rPr>
        <sz val="11"/>
        <rFont val="Arial"/>
        <family val="2"/>
      </rPr>
      <t xml:space="preserve"> </t>
    </r>
  </si>
  <si>
    <t>Galerias Santa Rita no Município de Vila Velha/ES</t>
  </si>
  <si>
    <t xml:space="preserve">SUPERVISORA: </t>
  </si>
  <si>
    <t>Consórcio Prosul-Quadrante Viaponte-Consane</t>
  </si>
  <si>
    <t>DESCRIÇÃO:</t>
  </si>
  <si>
    <t>Construção de Galerias de Macrodrenagem no Bairro Santa Rita</t>
  </si>
  <si>
    <t>CONTRATO N°:</t>
  </si>
  <si>
    <t>011/2021</t>
  </si>
  <si>
    <t>MEDIÇÃO:</t>
  </si>
  <si>
    <t xml:space="preserve">ASSINATURA: </t>
  </si>
  <si>
    <t>PERÍODO:</t>
  </si>
  <si>
    <t>INÍCIO SERVIÇO:</t>
  </si>
  <si>
    <t>PLANILHA FINANCEIRA</t>
  </si>
  <si>
    <t>ITEM</t>
  </si>
  <si>
    <t>SERVIÇO</t>
  </si>
  <si>
    <t>und.</t>
  </si>
  <si>
    <t>CONTRATUAL</t>
  </si>
  <si>
    <t>ACUMULADO ANTERIOR</t>
  </si>
  <si>
    <t>ACUMULADO TOTAL</t>
  </si>
  <si>
    <t>Referência</t>
  </si>
  <si>
    <t>Código</t>
  </si>
  <si>
    <t xml:space="preserve">PREÇO UNIT. </t>
  </si>
  <si>
    <t>QUANT.</t>
  </si>
  <si>
    <t>TOTAL</t>
  </si>
  <si>
    <t>Administração da Obra</t>
  </si>
  <si>
    <t>Implantação do Canteiro de Obras</t>
  </si>
  <si>
    <t>Rede De Água Com Padrão De Entrada D'Água Diâm. 3/4", Conf. Espec. Cesan, Incl. Tubos E Conexões Para Alimentação, Distribuição, Extravasor E Limpeza, Cons. O Padrão A 25M, Conf. Projeto (1 Utilização)</t>
  </si>
  <si>
    <t>m</t>
  </si>
  <si>
    <t>Rede De Esgoto, Contendo Fossa E Filtro, Inclusive Tubos E Conexões De Ligação Entre Caixas, Considerando Distância De 25M, Conforme Projeto (1 Utilização)</t>
  </si>
  <si>
    <t>Rede De Luz, Incl. Padrão Entrada De Energia Trifás., Cabo De Ligação Até Barracões, Quadro De Distrib., Disj. E Chave De Força (Quando Necessário), Cons. 20M Entre Padrão Entrada E Qdg, Conf. Projeto (1 Utilização)</t>
  </si>
  <si>
    <t>Reservatório De Poliestileno De 1000 L, Incl. Suporte Em Madeira De 7X12Cm E 8X7Cm, Elevado De 4M, Conf. Projeto (1 Utilização)</t>
  </si>
  <si>
    <t>und</t>
  </si>
  <si>
    <t>Tapume Telha Metálica Ondulada Em Aço Galvalume 0,50Mm Branca H=2,20M, Incl. Montagem Estr. Mad. 8"X8", C/Adesivo "Der-Es" 60X60Cm A Cada 10M, Incl. Faixas Pint. Esmalte Sint. Cores Azul C/ H=30Cm E Rosa C/ H=10Cm (Reaproveitamento 2X)</t>
  </si>
  <si>
    <t>Placa De Obra Nas Dimensões De 2.0 X 4.0 M, Padrão Iopes</t>
  </si>
  <si>
    <t>m²</t>
  </si>
  <si>
    <t>Placa Para Inauguração De Obra Em Alumínio Polido E=4Mm, Dimensões 40 X 50 Cm, Gravação Em Baixo Relevo, Inclusive Pintura E Fixação</t>
  </si>
  <si>
    <t>Canteiro de Obras</t>
  </si>
  <si>
    <t xml:space="preserve">Mobilização e desmobilização de conteiner locado </t>
  </si>
  <si>
    <t>Aluguel Mensal Container Para Refeitorio, Incl. Porta, 2 Janelas, Abert P/ Ar Cond., 2 Pt Iluminação, 2 Tomadas Elét. E 1 Tomada Telef. Isolamento Térmico (Paredes E Teto), Piso Em Comp. Naval Pintado, Cert. Nr18, Incl. Laudo Descontaminação.</t>
  </si>
  <si>
    <t>mês</t>
  </si>
  <si>
    <t>Aluguel Mensal Container Sanitário, Incl Porta, Básc, 2 Ptos Luz, 1 Pto Aterram., 3Vasos, 3Lavatórios, Calha Mictório, 6 Chuveiros (1 Eletrico), Torn.,Registros, Piso Comp. Naval Pintado, Cert Nr18 E Laudo Descontaminação</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</si>
  <si>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</si>
  <si>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almoxarifado, incl. porta, 2 janelas, 1 pt iluminação, Isolamento térmico (teto), piso em comp. Naval pintado, cert. NR18, incl. laudo descontaminação.</t>
  </si>
  <si>
    <t>Aluguel Mensal Container Para Vestiário, Incl. Porta, Venezianas De Circulação, 1 Pt Iluminação, Isolamento Térmico (Teto), Piso Em Comp. Naval Pintado, Cert. Nr18, Incl. Laudo Descontaminação.</t>
  </si>
  <si>
    <t>SUB-TOTAL - 1.0 - ADMINISTRAÇÃO DA OBRA</t>
  </si>
  <si>
    <t>Galeria Aribiri</t>
  </si>
  <si>
    <t>Terraplanagem e Pavimentação</t>
  </si>
  <si>
    <t>m³</t>
  </si>
  <si>
    <r>
      <rPr>
        <sz val="10"/>
        <color rgb="FF000000"/>
        <rFont val="Arial"/>
        <family val="2"/>
      </rPr>
      <t>Compactação de aterros a 100% do Proctor intermediário</t>
    </r>
  </si>
  <si>
    <t>tkm</t>
  </si>
  <si>
    <r>
      <rPr>
        <sz val="10"/>
        <color rgb="FF000000"/>
        <rFont val="Arial"/>
        <family val="2"/>
      </rPr>
      <t>Destinação Final de Resíduos Classe II A em aterro sanitário controlado - BDI = 14,02</t>
    </r>
  </si>
  <si>
    <t>T</t>
  </si>
  <si>
    <t>Índice de preço para remoção de entulho decorrente da execução de obras  - BDI = 14,02</t>
  </si>
  <si>
    <t>Drenagem Pluvial</t>
  </si>
  <si>
    <t>5199-83627</t>
  </si>
  <si>
    <t>Tampão Fofo Articulado, Classe B125 Carga Max 12,5 T, Redondo Tampa 600 Mm, Rede Pluvial/Esgoto, P = Chamine Cx Areia / Poco Visita Assentado Com Arg Cim/Areia 1:4, Fornecimento E Assentamento</t>
  </si>
  <si>
    <t>Obras Complementares</t>
  </si>
  <si>
    <t>Remoção de bueiros existentes, em Vias Urbanas</t>
  </si>
  <si>
    <t>Demolição de pilares e vigas de concreto armado, de forma mecanizada com martelete, sem reaproveitamento AF_12/2017</t>
  </si>
  <si>
    <t>Índice de preço para remoção de entulho decorrente da execução de obras  - Material demolido - BDI = 14,02null - DMT = 2,50</t>
  </si>
  <si>
    <t>Esgoto</t>
  </si>
  <si>
    <t>Poço de vista circular para esgoto, em alvenaria com tijolos cerâmicos maciços, diâmetro interno =1,2M, profundidade até 1,50m, incluindo tampão de ferro fundido , diâmetro de 60cm.AF_04/2018</t>
  </si>
  <si>
    <t>Tubo de PVC para rede coletora de esgoto de parede maciça DN 150mm,junta elástica, instalado em local com nível alto de interferências - Fornecimento Assentamento AF_06/2015</t>
  </si>
  <si>
    <t>Movimento de Terra</t>
  </si>
  <si>
    <t>Escavação mecânica de vala em material de 1ª categoria</t>
  </si>
  <si>
    <t>Escavação manual de vala em material de 1ª categoria</t>
  </si>
  <si>
    <t xml:space="preserve">Regularização do terreno em areia, inclusive adensamento hidráulico e fornecimento do material </t>
  </si>
  <si>
    <t>Reaterro Manual Apiolado com Soquete AF_10/2017</t>
  </si>
  <si>
    <t>Reaterro Manual De Valas Com Compactação Mecanizada. Af_04/2016</t>
  </si>
  <si>
    <t>Índice de preço para remoção de entulho decorrente da execução de obras - BDI = 14,02</t>
  </si>
  <si>
    <t>Estrutura</t>
  </si>
  <si>
    <t>Fornecimento e assentamento de galeria de concreto pré-moldado 3 X 2 metros fechada (tampa fixa)</t>
  </si>
  <si>
    <t>Fornecimento e assentamento de galeria de concreto pré-moldado 3 X 2 metros aberta (tampa removível)</t>
  </si>
  <si>
    <t>Concreto magro - confecção em betoneira e lançamento manual - areia e brita comerciais</t>
  </si>
  <si>
    <t>Concreto fck = 30 MPa - confecção em central dosadora de 30 m³/h - areia e brita comerciais</t>
  </si>
  <si>
    <t xml:space="preserve">Serviço de Bombeamento De Concreto </t>
  </si>
  <si>
    <t>3762-S160326</t>
  </si>
  <si>
    <t>Barra chata em qualquer dimensão</t>
  </si>
  <si>
    <t>kg</t>
  </si>
  <si>
    <t>Armação em aço CA-50 - fornecimento, preparo e colocação</t>
  </si>
  <si>
    <t>Lastro Com Material Granular (Pedra Britada N.3), Aplicado Em Pisos Ou Lajes Sobre Solo, Espessura De *10 Cm*. Af_07/2019</t>
  </si>
  <si>
    <t>Esgotamento de água com bomba submersa</t>
  </si>
  <si>
    <t>h</t>
  </si>
  <si>
    <t>Rebaixamento de lençol freatico c/ pomt filtrantes</t>
  </si>
  <si>
    <t>Escoramento cavas com prancha metalica</t>
  </si>
  <si>
    <t>SUB-TOTAL - 2.0 - GALERIA ARIBIRI</t>
  </si>
  <si>
    <t>Galeria Ernesto Guimarães</t>
  </si>
  <si>
    <t>Compactação de aterros a 100% do Proctor intermediário</t>
  </si>
  <si>
    <t>Aterro Mecanizado e vala com retroescavadeira (capacidade da caçamba da retro:0,26m² (potência:88HP), largura até 0,8m profundidade de 1,5 a 3,0 m com areia para aterro</t>
  </si>
  <si>
    <t>Aquisição de solo de jazida comercial (saibreira) - BDI = 14,02</t>
  </si>
  <si>
    <t xml:space="preserve">Transporte com caminhão basculante de 12m³ - rodovia pavimentada </t>
  </si>
  <si>
    <t>Transporte de materiais para DMT acima de 15 KM (Caminhão basculante) - solo de jazida comercial (saibreira)null - DMT = 1,30</t>
  </si>
  <si>
    <t>Destinação Final de Resíduos Classe II A em aterro sanitário controlado - BDI = 14,02</t>
  </si>
  <si>
    <t>Base ou sub-base de brita graduada executada com vibroacabadora - brita comercial</t>
  </si>
  <si>
    <t>Execução de pavimento com aplicação de concreto asfáltico camada de rolamento - Exclusive carga e transporte AF_11/2019</t>
  </si>
  <si>
    <t>Imprimação com emulsão asfáltica</t>
  </si>
  <si>
    <t>Emulsão Asfáltica para Imprimação (EAI), fornecimento - BDI = 14,02</t>
  </si>
  <si>
    <t>t</t>
  </si>
  <si>
    <t>Corpo de BSTC D = 0,40 m CA2 - areia, brita e pedra de mão comerciais</t>
  </si>
  <si>
    <t>Caixa de ligação e passagem - CLP 05 - areia e brita comerciais</t>
  </si>
  <si>
    <t>Boca de lobo simples - grelha de concreto - BLSG 01 - areia e brita comerciais</t>
  </si>
  <si>
    <t>Manutenção Rede de Água</t>
  </si>
  <si>
    <t>Poço de visita - PVI 02 - areia e brita comerciais</t>
  </si>
  <si>
    <t>Assentamento de tubo de PVC PBA para rede de água DN 50 mm junta elástica integrada, instalado em local com nível alto de interferências (não inclui fornecimento) AF_11/2017</t>
  </si>
  <si>
    <t>Tubo de PVC PBA JEI, classe 20,DN 50mm, para rede de água (NBR 5647)</t>
  </si>
  <si>
    <t>Assentantamento de tubo de PVC PBA para rede de água . DN 100mm, junta elástica integrada, instalado em local com nível alto de interferência (não inclui fornecimento) AF_11/2017</t>
  </si>
  <si>
    <t>Tubo de PVC PBA JEI, classe 20, DN 100mm, para rede de água (Nbr 5647)</t>
  </si>
  <si>
    <t>Assentamento de tubo de ferro fundido para rede de água, DN 200mm, junta elástica, instalado em local com nível alto de interferências ( não inclui fornecimento). AF_11/2017</t>
  </si>
  <si>
    <t>Tubo fofof fúctil JGS JEK-7p/água DN 200</t>
  </si>
  <si>
    <t>Demolição de concreto simples</t>
  </si>
  <si>
    <t>Remoção e reassentamento de blocos de concreto, inclusive perdas em Vias Urbanas</t>
  </si>
  <si>
    <t>Demolição mecânica de concreto em Vias Urbanas</t>
  </si>
  <si>
    <t>Transporte de materiais para DMT acima de 15 KM</t>
  </si>
  <si>
    <t>Demolição e remoção de pavimento asfáltico</t>
  </si>
  <si>
    <t>7550-83397</t>
  </si>
  <si>
    <t xml:space="preserve">Poste de concreto duplo h=9m carga nominal 500k, inclusive escavação, exclusive trasnporte- fornecimento e instalação </t>
  </si>
  <si>
    <t>Fabricação, montagem e desmontagem de forma em chapa de madeira compensada resinada, E= 17mm</t>
  </si>
  <si>
    <t>Armação em aço CA-60 - fornecimento, preparo e colocação</t>
  </si>
  <si>
    <t>SUB-TOTAL - 3.0 - GALERIA ERNESTO GUIMARÃES</t>
  </si>
  <si>
    <t>TOTAL DO CONTRATO</t>
  </si>
  <si>
    <r>
      <t xml:space="preserve">TRECHO: </t>
    </r>
    <r>
      <rPr>
        <sz val="11"/>
        <color theme="1"/>
        <rFont val="Arial"/>
        <family val="2"/>
      </rPr>
      <t xml:space="preserve"> </t>
    </r>
  </si>
  <si>
    <r>
      <t xml:space="preserve">EMPREITEIRA: </t>
    </r>
    <r>
      <rPr>
        <sz val="11"/>
        <color theme="1"/>
        <rFont val="Arial"/>
        <family val="2"/>
      </rPr>
      <t xml:space="preserve"> </t>
    </r>
  </si>
  <si>
    <r>
      <t xml:space="preserve">CONTRATO N°: </t>
    </r>
    <r>
      <rPr>
        <sz val="11"/>
        <color theme="1"/>
        <rFont val="Arial"/>
        <family val="2"/>
      </rPr>
      <t xml:space="preserve"> </t>
    </r>
  </si>
  <si>
    <t xml:space="preserve">INÍCIO DOS SERVIÇOS: </t>
  </si>
  <si>
    <t>MEMÓRIA DE CÁLCULO DE QUANTIDADES</t>
  </si>
  <si>
    <t xml:space="preserve">ESTACA </t>
  </si>
  <si>
    <t>POS.</t>
  </si>
  <si>
    <t>EXTENSÃO (m)</t>
  </si>
  <si>
    <t>LARGURA (m)</t>
  </si>
  <si>
    <t>PROF. (m)</t>
  </si>
  <si>
    <t>ÁREA (m²)</t>
  </si>
  <si>
    <t>VOLUME (m³)</t>
  </si>
  <si>
    <t>DENSIDADE</t>
  </si>
  <si>
    <t>%</t>
  </si>
  <si>
    <t>UND</t>
  </si>
  <si>
    <t>MEDIÇÃO</t>
  </si>
  <si>
    <t>OBSERVAÇÕES</t>
  </si>
  <si>
    <t>INICIAL</t>
  </si>
  <si>
    <t>FINAL</t>
  </si>
  <si>
    <t>(t/m³)</t>
  </si>
  <si>
    <t>QUANTIDADE CONTRATUAL</t>
  </si>
  <si>
    <t xml:space="preserve">QUANTIDADE TOTAL ACUMULADA </t>
  </si>
  <si>
    <t>AVANÇO</t>
  </si>
  <si>
    <t>ACUMULADA ANTERIOR</t>
  </si>
  <si>
    <t>MEDIÇÃO LÍQUIDA</t>
  </si>
  <si>
    <t xml:space="preserve">Mobilização  </t>
  </si>
  <si>
    <t>PERÍODO</t>
  </si>
  <si>
    <t>DIAS</t>
  </si>
  <si>
    <t>DENSIDADE
(t/m³)</t>
  </si>
  <si>
    <t>Aluguel mensal de container tipo refeitório - set/2022</t>
  </si>
  <si>
    <t>Aluguel mensal de container tipo refeitório - out/2022</t>
  </si>
  <si>
    <t>Aluguel mensal de container tipo refeitório - nov/2022</t>
  </si>
  <si>
    <t>Aluguel mensal de container tipo refeitório - dez/2022</t>
  </si>
  <si>
    <t>Aluguel mensal de container tipo refeitório - jan/2023</t>
  </si>
  <si>
    <t>Aluguel mensal de container tipo refeitório - fev/2023</t>
  </si>
  <si>
    <t>Aluguel mensal de container tipo refeitório - mar/2023</t>
  </si>
  <si>
    <t>Aluguel mensal de container tipo sanitário - set/2022</t>
  </si>
  <si>
    <t>Aluguel mensal de container tipo sanitário - nov/2022</t>
  </si>
  <si>
    <t>Aluguel mensal de container tipo sanitário - dez/2022</t>
  </si>
  <si>
    <t>Aluguel mensal de container tipo sanitário - jan/2023</t>
  </si>
  <si>
    <t>Aluguel mensal de container tipo sanitário - fev/2023</t>
  </si>
  <si>
    <t>Aluguel mensal de container tipo sanitário - mar/2023</t>
  </si>
  <si>
    <t>Aluguel mensal de container tipo escritório - set/2022</t>
  </si>
  <si>
    <t>Aluguel mensal de container tipo escritório - out/2022</t>
  </si>
  <si>
    <t>Aluguel mensal de container tipo escritório - nov/2022</t>
  </si>
  <si>
    <t>Aluguel mensal de container tipo escritório - dez/2022</t>
  </si>
  <si>
    <t>Aluguel mensal de container tipo escritório - jan/2023</t>
  </si>
  <si>
    <t>Aluguel mensal de container tipo escritório - fev/2023</t>
  </si>
  <si>
    <t>Aluguel mensal de container tipo escritório - mar/2023</t>
  </si>
  <si>
    <t>Aluguel mensal de container tipo almoxarifado - set/2022</t>
  </si>
  <si>
    <t>Aluguel mensal de container tipo almoxarifado - out/2022</t>
  </si>
  <si>
    <t>Aluguel mensal de container tipo almoxarifado - nov/2022</t>
  </si>
  <si>
    <t>Aluguel mensal de container tipo almoxarifado - dez/2022</t>
  </si>
  <si>
    <t>Aluguel mensal de container tipo almoxarifado - jan/2023</t>
  </si>
  <si>
    <t>Aluguel mensal de container tipo almoxarifado - fev/2023</t>
  </si>
  <si>
    <t>Aluguel mensal de container tipo vestiário - set/2022</t>
  </si>
  <si>
    <t>Aluguel mensal de container tipo vestiário - out/2022</t>
  </si>
  <si>
    <t>Aluguel mensal de container tipo vestiário - nov/2022</t>
  </si>
  <si>
    <t>Aluguel mensal de container tipo vestiário - dez/2022</t>
  </si>
  <si>
    <t>Aluguel mensal de container tipo vestiário - jan/2023</t>
  </si>
  <si>
    <t>Aluguel mensal de container tipo vestiário - fev/2023</t>
  </si>
  <si>
    <t>SEMI-DIST. (m)</t>
  </si>
  <si>
    <t>+</t>
  </si>
  <si>
    <t>EX</t>
  </si>
  <si>
    <t xml:space="preserve">Folha de Cubação e Seções Anexo
Fl. SEC-01 </t>
  </si>
  <si>
    <t>ATERRO MECANIZADO DE VALA COM RETROESCAVADEIRA (CAPACIDADE DA CAÇAMBA DA RETRO: 0,26 M³ / POTÊNCIA: 88 HP), LARGURA ATÉ 0,8 M, PROFUNDIDADE DE 1,5 A 3,0 M, COM AREIA PARA ATERRO. AF_05/2016</t>
  </si>
  <si>
    <t>LE</t>
  </si>
  <si>
    <t>Escavação referente a tubulação de esgoto e PV</t>
  </si>
  <si>
    <t>DISTÂNCIA (km)</t>
  </si>
  <si>
    <t>TKM</t>
  </si>
  <si>
    <t>O material excedente será medido no item idêntico da Rua Ernesto.</t>
  </si>
  <si>
    <t>DENSIDADE         (t/m³)</t>
  </si>
  <si>
    <t>LD/LE</t>
  </si>
  <si>
    <t>um</t>
  </si>
  <si>
    <t>2 PÇ TR 01, 02 (Tampas das galerias abertas)</t>
  </si>
  <si>
    <t>PESO</t>
  </si>
  <si>
    <t>(Kg/m)</t>
  </si>
  <si>
    <t>Ramais (03) de Manilhas Existentes. Croqui Galeria Anexo Fl. DR 03.</t>
  </si>
  <si>
    <t>Demolição de pilares e vigas de concreto armado</t>
  </si>
  <si>
    <t>7 ª MP</t>
  </si>
  <si>
    <t>Laje - Ponte Existente</t>
  </si>
  <si>
    <t>7ª MP</t>
  </si>
  <si>
    <t>Vigas - Ponte Existente</t>
  </si>
  <si>
    <t>Poço de visita circular</t>
  </si>
  <si>
    <t>Pv-01</t>
  </si>
  <si>
    <t>Pv-02</t>
  </si>
  <si>
    <t>Pv-03</t>
  </si>
  <si>
    <t>Pv-04</t>
  </si>
  <si>
    <t>Pv-05</t>
  </si>
  <si>
    <t>Pv-06</t>
  </si>
  <si>
    <t>Pv-07</t>
  </si>
  <si>
    <t>Pv-08</t>
  </si>
  <si>
    <t>Rede paralela a galeria</t>
  </si>
  <si>
    <t>Entrada do tubo no Poço de Visita</t>
  </si>
  <si>
    <t>Rede coletora paralela a galeria</t>
  </si>
  <si>
    <t>Escavação</t>
  </si>
  <si>
    <t xml:space="preserve">Estorno - Volume redirecionado para o item correto </t>
  </si>
  <si>
    <t xml:space="preserve">Escavação Tubulação de esgoto </t>
  </si>
  <si>
    <t>Índice de preço para remoção de entulho decorrente da execução de obras - BDI = 14,03</t>
  </si>
  <si>
    <t>Índice de preço para remoção de entulho decorrente da execução de obras - BDI = 14,04</t>
  </si>
  <si>
    <t>QUANT. DE GALERIAS</t>
  </si>
  <si>
    <t>Execução de Galerias Pré - Moldadas tampas fixa - DUPLA</t>
  </si>
  <si>
    <t>Croqui Galeria Anexo Fl. DR 02</t>
  </si>
  <si>
    <t>Execução de Galerias Pré - Moldadas tampas fixa - SIMPLES</t>
  </si>
  <si>
    <t>Croqui Galeria Anexo Fl. DR 03</t>
  </si>
  <si>
    <t>ALTU. (m)</t>
  </si>
  <si>
    <t>ALTURA (m)</t>
  </si>
  <si>
    <t>Concreto magro - Galeria Dupla (Canal Aribiri)</t>
  </si>
  <si>
    <t>Concreto magro - Galeria Simples (Canal Aribiri)</t>
  </si>
  <si>
    <t>Volume de Concreto “In Loco” - Galeria Dupla</t>
  </si>
  <si>
    <t>Volume de Concreto “In Loco” - Galeria Simples</t>
  </si>
  <si>
    <t>DENSIDADE (t/m³)</t>
  </si>
  <si>
    <t>Serviço de Bombeamento de Concreto - Galeria Dupla</t>
  </si>
  <si>
    <t>Serviço de Bombeamento de Concreto - Galeria Simples</t>
  </si>
  <si>
    <t>Área da tela</t>
  </si>
  <si>
    <t>Quan. Tela</t>
  </si>
  <si>
    <t>Armação do Berço da Galeria em tela Q503 . Sendo (3,74+0,18+1,00) + Transpasse de 20cm</t>
  </si>
  <si>
    <t xml:space="preserve">TRELIÇA Sendo (0,50 a cada 70 cm de extesão) </t>
  </si>
  <si>
    <t>Treliça de todo o trecho do canal</t>
  </si>
  <si>
    <t>Lastro Com Material Granular (Pedra Britada N.3) - Galeria Dupla</t>
  </si>
  <si>
    <t>Lastro Com Material Granular (Pedra Britada N.3) - Galeria Simples</t>
  </si>
  <si>
    <t xml:space="preserve">DIAS </t>
  </si>
  <si>
    <t>HORAS</t>
  </si>
  <si>
    <t xml:space="preserve">Esgotamento (Execução da Galeria BSCC 3,00x2,00m) - Canal Aribiri </t>
  </si>
  <si>
    <t>QUANTIDADE 
DE LADOS</t>
  </si>
  <si>
    <t>Escoramento Frontal de valas</t>
  </si>
  <si>
    <t>Ajuste de projeto feito pela SEDURB</t>
  </si>
  <si>
    <t xml:space="preserve">Ramal de esgoto </t>
  </si>
  <si>
    <t xml:space="preserve">Aterro lateral das galerias </t>
  </si>
  <si>
    <t>Aterro - ramal de esgoto</t>
  </si>
  <si>
    <t>Transporte para bota espera</t>
  </si>
  <si>
    <t xml:space="preserve">Bota fora de material classe II A =  AB Soluções </t>
  </si>
  <si>
    <t>Oriundo da escavação (15%) -                        0 + 0 até 43 + 0 - Total = 11.417,37     conforme memorial  de cálculo (linha 29)</t>
  </si>
  <si>
    <t xml:space="preserve">Bota fora de material classe II B =  AB Soluções </t>
  </si>
  <si>
    <t>Bota fora de material classe II B =  AB Soluções - CANAL ARIBIRI</t>
  </si>
  <si>
    <t>T-01, 02, 03, 04, 05</t>
  </si>
  <si>
    <t xml:space="preserve">QUANT. </t>
  </si>
  <si>
    <t>Chumbação de BSTC D-40 m CA2 na galeria</t>
  </si>
  <si>
    <t>Aplicação na Rua Francisco Xavier</t>
  </si>
  <si>
    <t>Assentamento de tubo PBA</t>
  </si>
  <si>
    <t>Desvio de rede existente</t>
  </si>
  <si>
    <t>Poço de visita - PVI 02 - areia e brita comerciais (DEMOLIR)</t>
  </si>
  <si>
    <t xml:space="preserve">Como Informa a Prancha 03/13 Geométrico </t>
  </si>
  <si>
    <t>Remoção de Pavi's (50% medido, referente somente a remoção)</t>
  </si>
  <si>
    <t xml:space="preserve">Referente a 50% do Trecho </t>
  </si>
  <si>
    <t xml:space="preserve">Retirada de Camada Asfáltica </t>
  </si>
  <si>
    <t xml:space="preserve">Acumulado medido </t>
  </si>
  <si>
    <t>Execução de Galerias Pré - Moldadas tampas fixa</t>
  </si>
  <si>
    <t>Execução de Galerias Pré - Moldadas tampas removível</t>
  </si>
  <si>
    <t>REUTILIZAÇÕES</t>
  </si>
  <si>
    <t>Forma das Laterais do Berço</t>
  </si>
  <si>
    <t>TR-01, 02, 03, 04, 05</t>
  </si>
  <si>
    <t>Estorno</t>
  </si>
  <si>
    <t>TAMPÃO ø600</t>
  </si>
  <si>
    <t xml:space="preserve">Berço da Galeria </t>
  </si>
  <si>
    <t xml:space="preserve">Tampas Removíveis </t>
  </si>
  <si>
    <t>TR 01,02, 03, 04 e 5</t>
  </si>
  <si>
    <t>Serviço de Bombeamento De Concreto ( Berço da Galeria )</t>
  </si>
  <si>
    <t>TR 01,02, 03, 04, 05</t>
  </si>
  <si>
    <t>(Kg/m²)</t>
  </si>
  <si>
    <t>Barrra de ¢ 12,5mm  Negativo/Positivo</t>
  </si>
  <si>
    <t>N6 = Prancha 02/02 . Pr- Estrutural</t>
  </si>
  <si>
    <t>Prancha 02/02 . Pr- Estrutural</t>
  </si>
  <si>
    <t>Reforço Vertical     ¢   12,5mm</t>
  </si>
  <si>
    <t>Lastro - Pedra Britada N° 3</t>
  </si>
  <si>
    <t>Armação do Berço da Galeria em tela Q 196 . Sendo (3,74+0,12+0,8) + transpasse 0,20</t>
  </si>
  <si>
    <t>-</t>
  </si>
  <si>
    <t>Ajuste de projeto feito pela SEDURB - acrescido o transpasse</t>
  </si>
  <si>
    <t>Espaçadores em viga treliça "H8" sendo (30cm a cada 70 cm )</t>
  </si>
  <si>
    <t>N3  =  Prancha 02/02 Pr. Estrutural</t>
  </si>
  <si>
    <t>Horas/dia</t>
  </si>
  <si>
    <t>Dias trabalhados</t>
  </si>
  <si>
    <t>QUANT. (mês)</t>
  </si>
  <si>
    <t>Esgotamento de água com bomba submersa - outubro</t>
  </si>
  <si>
    <t>Conforme memorial de quantitativos - item 1.13 - página 6</t>
  </si>
  <si>
    <t>Esgotamento de água com bomba submersa -  novembro</t>
  </si>
  <si>
    <t>Esgotamento de água com bomba submersa -  dezembro</t>
  </si>
  <si>
    <t>Esgotamento de água com bomba submersa -  janeiro2023</t>
  </si>
  <si>
    <t>Esgotamento de água com bomba submersa -  fev/mar2023</t>
  </si>
  <si>
    <t>Como Informa a Prancha 03/13 Geométrico No perfil Lonngitudinal</t>
  </si>
  <si>
    <t>Bota fora de material classe II B =  Transporterra- CANAL ARIBIRI</t>
  </si>
  <si>
    <t>faltante da 10ª medição.</t>
  </si>
  <si>
    <t>Fiscal do Contrato - SEDURB</t>
  </si>
  <si>
    <t>QUANTIDADE CONTRATUAL + ADITIVADO</t>
  </si>
  <si>
    <t xml:space="preserve">QUANTIDADE CONTRATUAL </t>
  </si>
  <si>
    <t>Execução de Guarita em Canteiro de Obra em chapa de Madeira compensada</t>
  </si>
  <si>
    <t>Rede esgoto pvc nbr 7362 150mm 1,26 a 1,75 s/ pav</t>
  </si>
  <si>
    <t>Ligação Predial esgoto longa c/mat s/Pav</t>
  </si>
  <si>
    <t>Barração para refeitorio</t>
  </si>
  <si>
    <t>Barração para escritório da fiscalização</t>
  </si>
  <si>
    <t>Lastro de brita inclusive transporte em vias urbanas</t>
  </si>
  <si>
    <t xml:space="preserve">SUB-TOTAL - 4.0 - ITENS NOVOS </t>
  </si>
  <si>
    <t>4.1.1</t>
  </si>
  <si>
    <t>4.1.2</t>
  </si>
  <si>
    <t>4.1.3</t>
  </si>
  <si>
    <t>4.1.4</t>
  </si>
  <si>
    <t>4.1.5</t>
  </si>
  <si>
    <t>4.1.6</t>
  </si>
  <si>
    <t>4.1.7</t>
  </si>
  <si>
    <t>4.1.8</t>
  </si>
  <si>
    <t>4.1.9</t>
  </si>
  <si>
    <t>4.1.10</t>
  </si>
  <si>
    <t>4.1.11</t>
  </si>
  <si>
    <t>4.1.12</t>
  </si>
  <si>
    <t>4.1.13</t>
  </si>
  <si>
    <t>4.1.14</t>
  </si>
  <si>
    <t>4.1.15</t>
  </si>
  <si>
    <t>4.1.16</t>
  </si>
  <si>
    <t>4.1.17</t>
  </si>
  <si>
    <t>4.1.18</t>
  </si>
  <si>
    <t>4.1.19</t>
  </si>
  <si>
    <t>4.1.20</t>
  </si>
  <si>
    <t>4.1.21</t>
  </si>
  <si>
    <t>4.1.22</t>
  </si>
  <si>
    <t>CPU01</t>
  </si>
  <si>
    <t>93585 sinap</t>
  </si>
  <si>
    <t>7260100050 - CESAN</t>
  </si>
  <si>
    <t>7200100010 - CESAN</t>
  </si>
  <si>
    <t>7010100050 - CESAN</t>
  </si>
  <si>
    <t>7010100010 - CESAN</t>
  </si>
  <si>
    <t>43003 - DER</t>
  </si>
  <si>
    <t xml:space="preserve"> 88908 SINAP </t>
  </si>
  <si>
    <t>CPU03</t>
  </si>
  <si>
    <t>CPU02</t>
  </si>
  <si>
    <t>CPU04</t>
  </si>
  <si>
    <t>Corpo de BSTC D = 0,80 m CA2 - areia, brita e pedra de mão comerciais</t>
  </si>
  <si>
    <t xml:space="preserve">Rip Rap em saco de areia </t>
  </si>
  <si>
    <t>Paredes de Contenção tipo Diafragma em bloco de 14</t>
  </si>
  <si>
    <t>Placa de sinalização com Chapas em Esmalte Sintético</t>
  </si>
  <si>
    <t xml:space="preserve">Tela de Proteção de segurança de PVC cor Laranja com Suporte para Sinalização de Obra </t>
  </si>
  <si>
    <t>Posto de vigilância noturna, feriados e fins de semana</t>
  </si>
  <si>
    <t xml:space="preserve">Banheiro químico </t>
  </si>
  <si>
    <t>Tubo pvc rígido para esgoto no diâmetro de 100mm incluindo escavação e aterro</t>
  </si>
  <si>
    <t>TRANSPORTE, CARGA E DESCARGA LOCAL COM DMT ATÉ 3,0 KM (Caminhão basculante)</t>
  </si>
  <si>
    <t xml:space="preserve">
Caixa ralo blocos pré-moldados e grelhas articulada em FFA em vias urbanas 
</t>
  </si>
  <si>
    <t>Grupo Gerador de energia 60 Kva</t>
  </si>
  <si>
    <t xml:space="preserve">SERVIÇOS DE APOIO À MOVIMENTAÇÃO DE MATERIAIS EM VIAS URBANAS ESTREITAS SEM POSSIBILIDADE DE MANOBRA </t>
  </si>
  <si>
    <t>CONJUNTO MOTO BOMBA CENTRIFUGA 6", A DIESEL/GASOLINA, 24 CV, COM ACESSÓRIOS</t>
  </si>
  <si>
    <t>Caixa de passagem de alvenaria de blocos de concreto 14x19x39cm, dimensões de 70x70x1,00m, com revestimento interno em chapisco e reboco tampa de concreto esp. 5cm e lastro de brita 5cm</t>
  </si>
  <si>
    <t>M³</t>
  </si>
  <si>
    <t>M²</t>
  </si>
  <si>
    <t>UNID</t>
  </si>
  <si>
    <t>Pç</t>
  </si>
  <si>
    <t xml:space="preserve">Mês </t>
  </si>
  <si>
    <t>H</t>
  </si>
  <si>
    <t>4.0</t>
  </si>
  <si>
    <t xml:space="preserve">Novos Itens </t>
  </si>
  <si>
    <t xml:space="preserve">ITENS NOVOS </t>
  </si>
  <si>
    <t>Tapume Telha Metálica Ondulada Em Aço Galvalume 0,50Mm Branca H=2,20M, Incl. Montagem Estr. Mad. 8"X8", C/Adesivo "Der-Es" 60X60Cm A Cada 10M, Incl. Faixas Pint. Esmalte Sint. Cores Azul C/ H=30Cm E Rosa C/ H=10Cm (Tapume do Bota Espera )</t>
  </si>
  <si>
    <t>Aluguel mensal de container tipo refeitório - Abril- 2023</t>
  </si>
  <si>
    <t>Aluguel mensal de container tipo refeitório - Maio-2023</t>
  </si>
  <si>
    <t>Aluguel mensal de container tipo refeitório - Junho-2023</t>
  </si>
  <si>
    <t>Aluguel mensal de container tipo refeitório - Julho-2023</t>
  </si>
  <si>
    <t>Aluguel mensal de container tipo refeitório - agosto-2023</t>
  </si>
  <si>
    <t>ITEM DE ADIITVO</t>
  </si>
  <si>
    <t>Fechamento Parcial do Bota Espera Liberado Pela Fiscalização ( ITEM DE ADITIVO)</t>
  </si>
  <si>
    <t>ITEM DE ADITIVO</t>
  </si>
  <si>
    <t>ITEM DE ADITIVO ( Escritorio Comér)</t>
  </si>
  <si>
    <t>ITEM DE ADITIVO (Escritório da Fiscalização)</t>
  </si>
  <si>
    <t>Escavação, carga e transporte de material de 1º categoria ( CANAL ARIBIRI)</t>
  </si>
  <si>
    <t xml:space="preserve">Travessia galeria x  Rua  </t>
  </si>
  <si>
    <t>Uma Tampa</t>
  </si>
  <si>
    <t>Laje superior da Galeria no Canal Aribiri ( Nova metodologia)</t>
  </si>
  <si>
    <t>Referente a saldo faltante da 10 medição no qual não havia saldo em planilha. ITEM DE ADITIVO</t>
  </si>
  <si>
    <t>Escavação mecânica de vala em material de 1ª categoria ( ERNESTO GUIMARÃES)</t>
  </si>
  <si>
    <t>Corpo de BSTCD=80 CANAL ARIBIRI</t>
  </si>
  <si>
    <t xml:space="preserve">Forma das Laterais do Berço Canal Aribiri </t>
  </si>
  <si>
    <t>Forma das Laterais do Berço (Fechamento de estaca a estaca frontal) Canal Aribiri</t>
  </si>
  <si>
    <t>ligações lado direito da galeria da r. Des. Ernesto Guimarães</t>
  </si>
  <si>
    <t>unid.</t>
  </si>
  <si>
    <t>ligações lado esquerdo da galeria do Canal Aribiri</t>
  </si>
  <si>
    <t>Fechamento de Ramais diversos de esgoto ( CANAL ARIBIRI_)</t>
  </si>
  <si>
    <t>Caixa ralo blocos pré-moldados  Ernesto Guimarães</t>
  </si>
  <si>
    <t>Grupo Gerador de energia 60 Kva - Setembro 2022</t>
  </si>
  <si>
    <t>Mês</t>
  </si>
  <si>
    <t>Grupo Gerador de energia 60 Kva - Outubro 2022</t>
  </si>
  <si>
    <t>Grupo Gerador de energia 60 Kva - Novembro 2022</t>
  </si>
  <si>
    <t xml:space="preserve">Destinação final classe IIA material retirado do serviço de execução do " cotovelo" </t>
  </si>
  <si>
    <t>Placas para Sinalizações diversas Placa de 1x0,66</t>
  </si>
  <si>
    <t>Tela de Proteção de segurança de PVC cor Laranja "Galerias" ( ERNESTO GUIMARÃES)</t>
  </si>
  <si>
    <t>Tela de Proteção de segurança de PVC cor Laranja "Galerias" ( CANAL ARIBIRI)</t>
  </si>
  <si>
    <t>Escoramento cavas com prancha metálica( Frontal )</t>
  </si>
  <si>
    <t>Forma das Laje superior a Galeria ( Nova metodologia)</t>
  </si>
  <si>
    <t>Forma das Laje superior a Galeria ( Formas para executar a dilatação solicitada em projeto)</t>
  </si>
  <si>
    <t>Fechamento na estaca 6+9, 6+14, 6+19, 7+4</t>
  </si>
  <si>
    <t>estorno para medir em Solo mole ( ITEM DE ADITIVO)</t>
  </si>
  <si>
    <t>Estorno - Volume redirecionado para o item correto ( ITEM DE ADITIVO)</t>
  </si>
  <si>
    <t>Transporte para bota espera ( ERNESTO GUIMRÃES)</t>
  </si>
  <si>
    <t>ITEM DE ADIITVO -  ALIMENTAÇÃO DE MAQUINAS E EQUIPAMENTOS NA FRENTE DE SERVIÇO.</t>
  </si>
  <si>
    <t>1° Mobilização e Desmobilização - container tipo Escritório "Fiscalização"</t>
  </si>
  <si>
    <t>Aluguel mensal de container tipo refeitório - Març- 2023</t>
  </si>
  <si>
    <t>Aluguel mensal de container tipo almoxarifado - Març/2023</t>
  </si>
  <si>
    <t>Aluguel mensal de container tipo vestiário - març/2023</t>
  </si>
  <si>
    <t>Laje superior da Galeria no Canal Aribiri ( Nova metodologia) - POSITIVO</t>
  </si>
  <si>
    <t xml:space="preserve">ITEM DE ADITIVO - RUA ERNESTO X SILVIO AVIDOS </t>
  </si>
  <si>
    <t>LIGAÇÃO DE CAIXA PARA O BECO DA FELICIDADE</t>
  </si>
  <si>
    <t>Rip-Rap Canal Aribiri ( 2+14(2X GALERIA DUPLA)  E 5+00)</t>
  </si>
  <si>
    <t>Rip-Rap Ernesto Guimarães (5+00, 6+00, 8+10, 11+00, 11+10)</t>
  </si>
  <si>
    <t>Paredes de Contenção tipo Diafragma em bloco de 14x19x39 Canal Aribiri (2X -1+00, 2X 2+15 Galeria dupla) 5+00 e 7+4</t>
  </si>
  <si>
    <t>Paredes de Contenção tipo Diafragma em bloco de 14x19x39 Ernesto Guimarães (0+14, 5+00, 6+00, 8+10, 11+00 e 11+10)</t>
  </si>
  <si>
    <t>Forma das Laterais do Berço (Fechamento de estaca a estaca frontal Galeria Dupla ) Canal Aribiri</t>
  </si>
  <si>
    <t>Rede lado direito da galeria da r. Des. Ernesto Guimarães</t>
  </si>
  <si>
    <t>Rede lado esquerdo da galeria do Canal Aribiri</t>
  </si>
  <si>
    <t/>
  </si>
  <si>
    <t xml:space="preserve">Dias Mês </t>
  </si>
  <si>
    <t xml:space="preserve">Dias Trabalhados </t>
  </si>
  <si>
    <t>Coef</t>
  </si>
  <si>
    <t>Aluguel mensal de bomba 16 a 31/08 - 2023</t>
  </si>
  <si>
    <t>Aluguel mensal de bomba 01 à 21/07  -2023</t>
  </si>
  <si>
    <t>Item utilizado para o volume de material proveniente do Canal, por ser o mesmo item e possuir mesmo valor unitário. Atualmente aguardando finalização de processo de aditivo para reorganização da planilha ( ITEM DE ADITIVO)</t>
  </si>
  <si>
    <t>Treliça - Caranguejo</t>
  </si>
  <si>
    <t>Escoramento cavas com prancha metálica</t>
  </si>
  <si>
    <t>Item utilizado para o volume de material proveniente do Canal, por ser o mesmo item e possuir mesmo valor unitário. Atualmente aguardando finalização de processo de aditivo para reorganização da planilha ( Decréscimo para medir em item correto liberado em aditivo)</t>
  </si>
  <si>
    <t>Item utilizado para o volume de material proveniente do Canal, por ser o mesmo item e possuir mesmo valor unitário. Atualmente aguardando finalização de processo de aditivo para reorganização da planilha . ( Decréscimo para medir em item correto liberado em aditivo)</t>
  </si>
  <si>
    <t>Item utilizado para o volume de material proveniente do Canal, por ser o mesmo item e possuir mesmo valor unitário. Atualmente aguardando finalização de processo de aditivo para reorganização da planilha. ( Decréscimo para medir em item correto liberado em aditivo)</t>
  </si>
  <si>
    <t>Forma tampas removíveis  ( Lateral)</t>
  </si>
  <si>
    <t>Forma tampas removíveis  ( Fundo das tampas removíveis )</t>
  </si>
  <si>
    <t>Reforço Horizontal   ¢   12,5mm</t>
  </si>
  <si>
    <t>Tampa Removível - Tela Q 196</t>
  </si>
  <si>
    <t xml:space="preserve">Barracão para refeitório conforme NR - 18 </t>
  </si>
  <si>
    <t>Barracão para fiscalização conforme NR - 18 Feito a pedido da fiscalização</t>
  </si>
  <si>
    <t>Instalação Provisórias de redes Elétricas -</t>
  </si>
  <si>
    <t>Aluguel mensal de container tipo refeitório - setembro-2023</t>
  </si>
  <si>
    <t>Aluguel mensal de container tipo sanitárioo - out/2022</t>
  </si>
  <si>
    <t>Aluguel mensal de container tipo sanitário - Març- 2023</t>
  </si>
  <si>
    <t>Aluguel mensal de container tipo sanitário - Abril- 2023</t>
  </si>
  <si>
    <t>Aluguel mensal de container tipo sanitário - Maio-2023</t>
  </si>
  <si>
    <t>Aluguel mensal de container tipo sanitário - Junho-2023</t>
  </si>
  <si>
    <t>Aluguel mensal de container tiposanitário - Julho-2023</t>
  </si>
  <si>
    <t>Aluguel mensal de container tipo sanitário - agosto-2023</t>
  </si>
  <si>
    <t>Aluguel mensal de container tipo sanitário - setembro-2023</t>
  </si>
  <si>
    <t>Aluguel mensal de container tipo escritório - Abril- 2023</t>
  </si>
  <si>
    <t>Aluguel mensal de container tipo escritório - Maio-2023</t>
  </si>
  <si>
    <t>Aluguel mensal de container tipo escritório - Junho-2023</t>
  </si>
  <si>
    <t>Aluguel mensal de container tipo escritórioo - Julho-2023</t>
  </si>
  <si>
    <t>Aluguel mensal de container tipo escritório - setembro-2023</t>
  </si>
  <si>
    <t>Aluguel mensal de container tipo vestiário - Març- 2023</t>
  </si>
  <si>
    <t>Aluguel mensal de container tipo vestiário - Abril- 2023</t>
  </si>
  <si>
    <t>Aluguel mensal de container tipo vestiário - Maio-2023</t>
  </si>
  <si>
    <t>Aluguel mensal de container tipo vestiário - Junho-2023</t>
  </si>
  <si>
    <t>Aluguel mensal de container tipo vestiário - Julho-2023</t>
  </si>
  <si>
    <t>Aluguel mensal de container tipo vestiário - agosto-2023</t>
  </si>
  <si>
    <t>Aluguel mensal de container tipo vestiário - setembro-2023</t>
  </si>
  <si>
    <t>Esgotamento de água com bomba submersa -  Setembro2023</t>
  </si>
  <si>
    <t xml:space="preserve">20 Laje + 2,4 Galeria + 50 lastro pedra </t>
  </si>
  <si>
    <t>Aluguel mensal de bomba Setembro  - 2023</t>
  </si>
  <si>
    <t>Hs</t>
  </si>
  <si>
    <t xml:space="preserve">Movimentação de Materiais com Escavadeira Hidráulica </t>
  </si>
  <si>
    <t xml:space="preserve">Setembro </t>
  </si>
  <si>
    <t>Lastro de brita - Galeria Simples Ernesto Guimarães</t>
  </si>
  <si>
    <t>Aluguel mensal de container tipo refeitório - outubro-2023</t>
  </si>
  <si>
    <t>Aluguel mensal de container tipo sanitário - outubro-2023</t>
  </si>
  <si>
    <t>Aluguel mensal de container tipo escritório - outubro-2023</t>
  </si>
  <si>
    <t>Aluguel mensal de container tipo vestiário - outubro-2023</t>
  </si>
  <si>
    <t>TR--07 e 08</t>
  </si>
  <si>
    <t>Esgotamento de água com bomba submersa -  Outubro - 2023</t>
  </si>
  <si>
    <t>ITEM DE ADITIVO (Escoramento Frontal de valas)</t>
  </si>
  <si>
    <t xml:space="preserve">Outubro </t>
  </si>
  <si>
    <t>Aluguel mensal de bomba Outubro  - 2023</t>
  </si>
  <si>
    <t>T-06, 07 e 08</t>
  </si>
  <si>
    <t xml:space="preserve">Volume escavado, deferente de volume destinado, uma vez que consta material no Bota Espera </t>
  </si>
  <si>
    <t>Aluguel mensal de container tipo refeitório - novembro-2023</t>
  </si>
  <si>
    <t>Aluguel mensal de container tipo sanitário - novembro-2023</t>
  </si>
  <si>
    <t>Aluguel mensal de container tipo escritório - novembro-2023</t>
  </si>
  <si>
    <t>31/11/2023</t>
  </si>
  <si>
    <t xml:space="preserve">Novembro </t>
  </si>
  <si>
    <t>Aluguel mensal de bomba Novembro  - 2023</t>
  </si>
  <si>
    <t xml:space="preserve">Forma da Rampa da Ponte </t>
  </si>
  <si>
    <t xml:space="preserve">Magro Nas laterais da laje superior </t>
  </si>
  <si>
    <t xml:space="preserve">Forma nas Laterais da Laje Superior </t>
  </si>
  <si>
    <t xml:space="preserve">Forma das Laterais da Laje Superior </t>
  </si>
  <si>
    <t>Forma nas laterais da Concretagem ( Anexo)</t>
  </si>
  <si>
    <t xml:space="preserve">Forma Internas  da Laje Superior </t>
  </si>
  <si>
    <t xml:space="preserve">Concreto da Rampa da Ponte </t>
  </si>
  <si>
    <t xml:space="preserve">Concreto  da Laje Superior </t>
  </si>
  <si>
    <t>Rampa da Ponte  Concretagem ( Anexo)</t>
  </si>
  <si>
    <t xml:space="preserve">Laje Superior </t>
  </si>
  <si>
    <t xml:space="preserve">Bombeamento do Concreto da Rampa da Ponte </t>
  </si>
  <si>
    <t xml:space="preserve">Bombeamento do Concreto  da Laje Superior </t>
  </si>
  <si>
    <t>Tela Q 283  ( Rampa de acesso da Ponte )</t>
  </si>
  <si>
    <t>Tela Q 283  Laje Superior na Galerias )</t>
  </si>
  <si>
    <t>Kg</t>
  </si>
  <si>
    <t xml:space="preserve">Mesmo transpasso da laje sobre as galerias </t>
  </si>
  <si>
    <t xml:space="preserve">Base da  Rampa da Ponte </t>
  </si>
  <si>
    <t xml:space="preserve">Sub - Base da  Rampa da Ponte </t>
  </si>
  <si>
    <t>Rampa da Ponte  Sub-Base ( Anexo)</t>
  </si>
  <si>
    <t xml:space="preserve">Material para Sub-Base da Rampa de Acesso da ponte </t>
  </si>
  <si>
    <t>X</t>
  </si>
  <si>
    <t>Rampa da Ponte  Base ( Anexo)</t>
  </si>
  <si>
    <t xml:space="preserve">Transporte da Saibreira </t>
  </si>
  <si>
    <t xml:space="preserve">Regularização para a base da Galeria </t>
  </si>
  <si>
    <t xml:space="preserve">Base para complementação da Laje sobre as Galerias </t>
  </si>
  <si>
    <t xml:space="preserve">Treliça para espaçador positivo x negativo </t>
  </si>
  <si>
    <t xml:space="preserve">Rua São Judas Tadeu </t>
  </si>
  <si>
    <t>RELATÓRIO FOTOGRÁFICO</t>
  </si>
  <si>
    <t>Valor atual</t>
  </si>
  <si>
    <t>MUNICÍPIO</t>
  </si>
  <si>
    <t>TIPO DE INTERVENÇÃO</t>
  </si>
  <si>
    <t xml:space="preserve">Vila Velha </t>
  </si>
  <si>
    <t xml:space="preserve"> </t>
  </si>
  <si>
    <t>MÊS:</t>
  </si>
  <si>
    <t>CONTRATO:</t>
  </si>
  <si>
    <t>PRAZO</t>
  </si>
  <si>
    <t>Comér Construtora</t>
  </si>
  <si>
    <t>OS</t>
  </si>
  <si>
    <t>DESCRIÇÃO</t>
  </si>
  <si>
    <t xml:space="preserve">Macrodrenagem </t>
  </si>
  <si>
    <t>Loca</t>
  </si>
  <si>
    <t xml:space="preserve">Santa Rita </t>
  </si>
  <si>
    <t xml:space="preserve">Serviço de Macrodrenagem no Bairro de Santa Rita </t>
  </si>
  <si>
    <t>Aluguel mensal de container tipo refeitório - dezembro-2023</t>
  </si>
  <si>
    <t>Aluguel mensal de container tipo sanitário - dezembro-2023</t>
  </si>
  <si>
    <t>Aluguel mensal de container tipo escritório - dezembro-2023</t>
  </si>
  <si>
    <t>Aluguel mensal de container tipo vestiário - novembro-2023</t>
  </si>
  <si>
    <t>Aluguel mensal de container tipo vestiário - dezembro-2023</t>
  </si>
  <si>
    <t>Laje Superior ( Diferença 15° Med)</t>
  </si>
  <si>
    <t>Concreto  da Laje Superior  ( Diferença 15° Med)</t>
  </si>
  <si>
    <t>Barra de ¢ 12,5mm  Negativo/Positivo</t>
  </si>
  <si>
    <t>Paredes de Contenção tipo Diafragma em bloco de 14x19x39 Ernesto Guimarães (16, 18+10,20 e 23+10)</t>
  </si>
  <si>
    <t>Dezembro</t>
  </si>
  <si>
    <t>Aluguel mensal de bomba Dezembro  - 2023</t>
  </si>
  <si>
    <t>Uni</t>
  </si>
  <si>
    <t>Quant.</t>
  </si>
  <si>
    <t>Grampo de Barra de 1/2( 2 pç por galeria )</t>
  </si>
  <si>
    <t>Aluguel mensal de container tipo refeitório - Janeiro-2024</t>
  </si>
  <si>
    <t>Aluguel mensal de container tipo sanitário - janeiro-2024</t>
  </si>
  <si>
    <t>Aluguel mensal de container tipo escritório - janeiro-2024</t>
  </si>
  <si>
    <t>Aluguel mensal de container tipo vestiário -janeiro-2024</t>
  </si>
  <si>
    <t>Esgotamento de água com bomba submersa -  Novembro - 2023</t>
  </si>
  <si>
    <t>Isolamento das lajes concretadas</t>
  </si>
  <si>
    <t>Tela de Proteção de segurança de PVC cor Laranja " Lajes Superiores )</t>
  </si>
  <si>
    <t>Janeiro</t>
  </si>
  <si>
    <t>Lastro de brita - Calçada Bota Espera</t>
  </si>
  <si>
    <t>Solicitado Pela Fiscalização</t>
  </si>
  <si>
    <t>Aluguel mensal de bomba Janeiro  - 2024</t>
  </si>
  <si>
    <t>CRONOGRAMA FÍSICO-FINANCEIRO</t>
  </si>
  <si>
    <t>SEDURB</t>
  </si>
  <si>
    <t>Secretária do Estado de Saneamento, Habitação e Desenvolvimento Urbano</t>
  </si>
  <si>
    <t>Título:</t>
  </si>
  <si>
    <t>Cronograma Físico/Financeiro</t>
  </si>
  <si>
    <t>Objeto:</t>
  </si>
  <si>
    <t>Contrato:</t>
  </si>
  <si>
    <t>EXECUÇÃO PARA CONSTRUÇÃO DA OBRA DE MACRODRENAGEM NO BAIRRO SANTA RITA, NO MUNICÍPIO DE VILA VELHA/ES, COM  FORNECIMENTO DE MÃO-DE-OBRA E MATERIAIS</t>
  </si>
  <si>
    <t xml:space="preserve">ITEM </t>
  </si>
  <si>
    <t>ATIVIDADES</t>
  </si>
  <si>
    <t>VALORES(R$)</t>
  </si>
  <si>
    <t>Físico</t>
  </si>
  <si>
    <t>Financeiro</t>
  </si>
  <si>
    <t>Terraplanagem e Pavimentação Galeria Aribiri</t>
  </si>
  <si>
    <t>Drenagem Pluvial Galeria Aribiri</t>
  </si>
  <si>
    <t>Obras Complementares Galeria Aribiri</t>
  </si>
  <si>
    <t>Esgoto Galeria Aribiri</t>
  </si>
  <si>
    <t>Estrutura Galeria Aribiri</t>
  </si>
  <si>
    <t xml:space="preserve">Terraplanagem e Pavimentação Galeria Ernesto Guimarães </t>
  </si>
  <si>
    <t xml:space="preserve">Drenagem Pluvial Galeria Ernesto Guimarães </t>
  </si>
  <si>
    <t xml:space="preserve">Manutenção de rede de água Ernesto Guimarães </t>
  </si>
  <si>
    <t xml:space="preserve">Obras Complementares Galeria Ernesto Guimarães </t>
  </si>
  <si>
    <t xml:space="preserve">Estrutura Galeria Ernesto Guimarães </t>
  </si>
  <si>
    <t>TOTAL PARCIAL (%)</t>
  </si>
  <si>
    <t>TOTAL ACUMULADO (%)</t>
  </si>
  <si>
    <t>TOTAL FINANCEIRO (R$)</t>
  </si>
  <si>
    <t>TOTAL ACUMULADO (R$)</t>
  </si>
  <si>
    <t xml:space="preserve">Movimentação de Terra </t>
  </si>
  <si>
    <t>Aluguel mensal de container tipo sanitário - fevereiro-2024</t>
  </si>
  <si>
    <t>Aluguel mensal de container tipo refeitório - fevereiro-2024</t>
  </si>
  <si>
    <t>Aluguel mensal de container tipo escritório - fevereiro-2024</t>
  </si>
  <si>
    <t>Ensecadeiras- Canal Aribiri</t>
  </si>
  <si>
    <t xml:space="preserve">Fechamento do Canal na Ponte </t>
  </si>
  <si>
    <t xml:space="preserve">Fechamento do Canal  </t>
  </si>
  <si>
    <t>Direcionamento de água à Jusante</t>
  </si>
  <si>
    <t xml:space="preserve">Rede de Recalque para Bombeamento - Canal </t>
  </si>
  <si>
    <t>Três Tampas ( GR 9,10 e 11)</t>
  </si>
  <si>
    <t>Quatro Tampas ( GR,2,3,4 e 5)</t>
  </si>
  <si>
    <t>Três Tampas ( GR 6,7 e 8)</t>
  </si>
  <si>
    <t xml:space="preserve">Três Tampas </t>
  </si>
  <si>
    <t>29/02/2023</t>
  </si>
  <si>
    <t>Escoramento cavas com prancha metálica-</t>
  </si>
  <si>
    <t>Substituição de Rede</t>
  </si>
  <si>
    <t xml:space="preserve">Rip-Rap Ernesto Guimarães </t>
  </si>
  <si>
    <t>Pendência 16 Medição</t>
  </si>
  <si>
    <t xml:space="preserve">Fevereiro </t>
  </si>
  <si>
    <t>c</t>
  </si>
  <si>
    <t xml:space="preserve">Movimentação de Materiais com Escavadeira Hidráulica - Canal </t>
  </si>
  <si>
    <t>Aluguel mensal de bomba Fevereiro  - 2024</t>
  </si>
  <si>
    <t>Transporte de materiais para DMT acima de 15 KM (Caminhão basculante) - Saibreiranull - DMT = 1,30</t>
  </si>
  <si>
    <t xml:space="preserve">Tubo de PVC para rede coletora de esgoto de parede maciça DN 150mm,junta elástica, instalado em local com nível alto de interferências - Fornecimento Assentamento </t>
  </si>
  <si>
    <t>Aluguel mensal de container tipo refeitório - março-2024</t>
  </si>
  <si>
    <t>Aluguel mensal de container tipo vestiário -Março-2024</t>
  </si>
  <si>
    <t>Tubo de PVC PBA JEI, classe 20, DN 100mm, para rede de água (Nbr 5647) - ( Na rua Ernesto)</t>
  </si>
  <si>
    <t>Caminho de Serviço</t>
  </si>
  <si>
    <t>Caminho de Serviços</t>
  </si>
  <si>
    <t>Agulhamento</t>
  </si>
  <si>
    <t>Fechamento paralelo a Galeria da Ernesto</t>
  </si>
  <si>
    <t>Paredes de Contenção tipo Diafragma em bloco de 14x19x39- Canal Aribiri</t>
  </si>
  <si>
    <t>Aluguel mensal de bomba Março   - 2024</t>
  </si>
  <si>
    <t>Março</t>
  </si>
  <si>
    <t>19º MP</t>
  </si>
  <si>
    <t>Correção de erro de cálculo medido na 18ª medição, no qual foram medidos 189,39 m³ de reaterro para tubo PVC e esse valor deveria ser de 27,84 m³</t>
  </si>
  <si>
    <t>Aluguel mensal de container tipo refeitório - Abril-2024</t>
  </si>
  <si>
    <t>31/04/2024</t>
  </si>
  <si>
    <t>Aluguel mensal de container tipo sanitário - Março-2024</t>
  </si>
  <si>
    <t>Aluguel mensal de container tipo sanitário - Abril-2024</t>
  </si>
  <si>
    <t>Aluguel mensal de container tipo escritório - Março-2024</t>
  </si>
  <si>
    <t>Aluguel mensal de container tipo escritório - Abril-2024</t>
  </si>
  <si>
    <t>Aluguel mensal de container tipo vestiário -Abril-2024</t>
  </si>
  <si>
    <t xml:space="preserve">Destinação Final de Material </t>
  </si>
  <si>
    <t>CTRVV</t>
  </si>
  <si>
    <t>Ensecadeiras- Canal Aribiri ( Reconstrução)</t>
  </si>
  <si>
    <t>Recosntrução das Ensecadeiras ( Maré alta )</t>
  </si>
  <si>
    <t xml:space="preserve">Novas Ensecadeiras </t>
  </si>
  <si>
    <t>Densidades ( 19ª Medição)</t>
  </si>
  <si>
    <t>Remanejamento de rede devido a Maré</t>
  </si>
  <si>
    <t>31/04/2023</t>
  </si>
  <si>
    <t>Abril</t>
  </si>
  <si>
    <t>Aluguel mensal de bomba Abril   - 2024</t>
  </si>
  <si>
    <t>Aluguel mensal de container tipo almoxarifado - Març- 2023</t>
  </si>
  <si>
    <t>Aluguel mensal de container tipo almoxarifado - Abril- 2023</t>
  </si>
  <si>
    <t>Aluguel mensal de container tipo almoxarifado - Maio-2023</t>
  </si>
  <si>
    <t>Aluguel mensal de container tipo almoxarifado - Junho-2023</t>
  </si>
  <si>
    <t>Aluguel mensal de container tipo almoxarifado - Julho-2023</t>
  </si>
  <si>
    <t>Aluguel mensal de container tipo almoxarifado - agosto-2023</t>
  </si>
  <si>
    <t>Aluguel mensal de container tipo almoxarifado - Setembro-2023</t>
  </si>
  <si>
    <t>Aluguel mensal de container tipo almoxarifado - outubro-2023</t>
  </si>
  <si>
    <t>Aluguel mensal de container tipo almoxarifado - dezembro-2023</t>
  </si>
  <si>
    <t>Aluguel mensal de container tipo almoxarifado - -janeiro-2024</t>
  </si>
  <si>
    <t>Aluguel mensal de container tipo almoxarifado - -Fevereiro-2024</t>
  </si>
  <si>
    <t>Aluguel mensal de container tipoalmoxarifado - -Março-2024</t>
  </si>
  <si>
    <t>Aluguel mensal de container tipo almoxarifado - -Abril-2024</t>
  </si>
  <si>
    <t>Diferença 19ª Medição - Densidade adotada como 1,0 quando deveria ser 1,6</t>
  </si>
  <si>
    <t>Glosa de aço CA-60</t>
  </si>
  <si>
    <t>REAPROVEITAMENTO</t>
  </si>
  <si>
    <t>Glosa necessária devido ao valor pago na 17ª medição ter sido pago além do saldo de contrato.</t>
  </si>
  <si>
    <t>Aluguel mensal de container tipo refeitório - Maio-2024</t>
  </si>
  <si>
    <t>Aluguel mensal de container tipo sanitário - Maio -2024</t>
  </si>
  <si>
    <t>Aluguel mensal de container tipo escritório - Maio -2024</t>
  </si>
  <si>
    <t>Aluguel mensal de container tipo almoxarifado - Maio -2024</t>
  </si>
  <si>
    <t>Aluguel mensal de container tipo vestiário -Maio-2024</t>
  </si>
  <si>
    <t xml:space="preserve">Regularização por cima da Galeria </t>
  </si>
  <si>
    <t xml:space="preserve">Rede de Recalque para Bombeamento - 1 Linha </t>
  </si>
  <si>
    <t xml:space="preserve">Rede de Recalque para Bombeamento - 2 Linha </t>
  </si>
  <si>
    <t xml:space="preserve">Rede de Recalque para Bombeamento - 3 Linha </t>
  </si>
  <si>
    <t>Composição</t>
  </si>
  <si>
    <t xml:space="preserve">Composição </t>
  </si>
  <si>
    <t xml:space="preserve">Ponta a Montante </t>
  </si>
  <si>
    <t xml:space="preserve">Final das Galerias </t>
  </si>
  <si>
    <t xml:space="preserve">Cruzamento - São Judas Tadeu </t>
  </si>
  <si>
    <t xml:space="preserve">Laterais </t>
  </si>
  <si>
    <t xml:space="preserve">Formas de Divisórias </t>
  </si>
  <si>
    <t xml:space="preserve">Maio </t>
  </si>
  <si>
    <t>Aluguel mensal de bomba Maio    - 2024</t>
  </si>
  <si>
    <t>Levantamento de Tampa</t>
  </si>
  <si>
    <t xml:space="preserve">Berço de arraste </t>
  </si>
  <si>
    <t xml:space="preserve">Concretagem do 1° Cotovelo </t>
  </si>
  <si>
    <t xml:space="preserve">Caixa de Interseção </t>
  </si>
  <si>
    <t xml:space="preserve">Concretagem do 2° Cotovelo </t>
  </si>
  <si>
    <t xml:space="preserve">Viga de Travamento </t>
  </si>
  <si>
    <t xml:space="preserve">Croqui de armação em Anexo </t>
  </si>
  <si>
    <t xml:space="preserve">Espalhamento manual embaixo da Ponte </t>
  </si>
  <si>
    <t xml:space="preserve">Caminho de Serviço </t>
  </si>
  <si>
    <t>Caminho de Serviços ( Faltante )</t>
  </si>
  <si>
    <t xml:space="preserve">Agulhamento - Faltante </t>
  </si>
  <si>
    <t xml:space="preserve">Formas Laterais da Viga de Travamento </t>
  </si>
  <si>
    <t xml:space="preserve">Forma do 1° Cotovelo </t>
  </si>
  <si>
    <t>Armação dos Cotovelos na Ponte  1/2"</t>
  </si>
  <si>
    <t xml:space="preserve">Tela Q 283 - Malha Positiva trecho da Ponte </t>
  </si>
  <si>
    <t xml:space="preserve">Laje em Baixo da Ponte </t>
  </si>
  <si>
    <t xml:space="preserve">Reforço - 1/2" </t>
  </si>
  <si>
    <t>Armação dos Cotovelos na Ponte  5/16" ( Costelas )</t>
  </si>
  <si>
    <t xml:space="preserve">Complemento da Viga de Travamento </t>
  </si>
  <si>
    <t xml:space="preserve">Viga Lateral de Travamento </t>
  </si>
  <si>
    <t>Madeirite Plastificado 12 mm    ( Canal Aribiri )</t>
  </si>
  <si>
    <t>Forma - Madeirite Plastificado 17mm ( Canal Aribiri )</t>
  </si>
  <si>
    <t xml:space="preserve">Forma da laje - Fundo </t>
  </si>
  <si>
    <t>Forma Internas  da Laje Superior  ( Ernesto )</t>
  </si>
  <si>
    <t>Forma nas Laterais da Laje Superior  ( Ernesto )</t>
  </si>
  <si>
    <t xml:space="preserve">Trecho Pendentes </t>
  </si>
  <si>
    <t>Maio</t>
  </si>
  <si>
    <t>SERVIÇOS NOVOS 1° Adit</t>
  </si>
  <si>
    <t>SERVIÇOS NOVOS  2° Adit</t>
  </si>
  <si>
    <t xml:space="preserve"> ACRÉSCIMO DE CONTRATO 1 Adit</t>
  </si>
  <si>
    <t xml:space="preserve"> ACRÉSCIMO DE CONTRATO 2° Adi</t>
  </si>
  <si>
    <t>4.1.23</t>
  </si>
  <si>
    <t>4.1.24</t>
  </si>
  <si>
    <t>4.1.25</t>
  </si>
  <si>
    <t>4.1.26</t>
  </si>
  <si>
    <t>4.1.27</t>
  </si>
  <si>
    <t>4.1.28</t>
  </si>
  <si>
    <t>4.1.29</t>
  </si>
  <si>
    <t>4.1.30</t>
  </si>
  <si>
    <t>4.1.31</t>
  </si>
  <si>
    <t>4.1.32</t>
  </si>
  <si>
    <t>Elemento de Madeira para Sinalização - Cavaletes</t>
  </si>
  <si>
    <t>MOB E DESMOB DE EQUIPAMENTOS &lt;=50KM</t>
  </si>
  <si>
    <t>Alvenaria de bloco (39 x 19 x 09) cm espessura 09 cm em Vias Urbanas, inclusive transporte, areia,cimento e bloco</t>
  </si>
  <si>
    <t>Religação de rede de água em PVC DN 20mm, inclusive conexões</t>
  </si>
  <si>
    <t xml:space="preserve">Ancoragem de Poste com risco de tombamento </t>
  </si>
  <si>
    <t>CPU-05</t>
  </si>
  <si>
    <t>Caixa moldada de Junção IN-LOCO na estaca 2+14</t>
  </si>
  <si>
    <t>CPU-06</t>
  </si>
  <si>
    <t>Caixa de Interseção na estaca 9+00</t>
  </si>
  <si>
    <t>Remoção de meio Fio</t>
  </si>
  <si>
    <t>Corpo de BSCC 2,00 x 2,00 m</t>
  </si>
  <si>
    <t>Remanejamento de ligação e religação de redes de esgoto, em Vias Urbanas</t>
  </si>
  <si>
    <t>CPU-07</t>
  </si>
  <si>
    <t>Enrocamento de pedra espalhada com escavadeira hidráulica - rachão reciclado comercial - fornecimento, transporte e assentamento</t>
  </si>
  <si>
    <t>4.1.33</t>
  </si>
  <si>
    <t>DECRÉSCIMO</t>
  </si>
  <si>
    <t>Mudança do Canteiro de Obras</t>
  </si>
  <si>
    <t>ITEM DO  2° ADIITVO -  ALIMENTAÇÃO DE MAQUINAS E EQUIPAMENTOS NA FRENTE DE SERVIÇO.</t>
  </si>
  <si>
    <t>Mudança do Canteiro ( ITEM DE ADITIVO)</t>
  </si>
  <si>
    <t xml:space="preserve">2° Mobilização e Desmobilização - Mudança de Canteiro </t>
  </si>
  <si>
    <t>Aluguel mensal de container tipo refeitório - Junho-2024</t>
  </si>
  <si>
    <t>Aluguel mensal de container tipo refeitório - Julho-2024</t>
  </si>
  <si>
    <t>31/06/2024</t>
  </si>
  <si>
    <t>Aluguel mensal de container tipo sanitário - Junho -2024</t>
  </si>
  <si>
    <t>Aluguel mensal de container tipo sanitário - Julho -2024</t>
  </si>
  <si>
    <t>Aluguel mensal de container tipo escritório - Junho -2024</t>
  </si>
  <si>
    <t>Aluguel mensal de container tipo escritório - Julho -2024</t>
  </si>
  <si>
    <t>Aluguel mensal de container tipo almoxarifado - Junho -2024</t>
  </si>
  <si>
    <t>Aluguel mensal de container tipo almoxarifado - Julho -2024</t>
  </si>
  <si>
    <t>Aluguel mensal de container tipo vestiário - Junho-2024</t>
  </si>
  <si>
    <t>Aluguel mensal de container tipo vestiário -Julho-2024</t>
  </si>
  <si>
    <t>Aluguel mensal de bomba Junho    - 2024</t>
  </si>
  <si>
    <t>Aluguel mensal de bomba Julho    - 2024</t>
  </si>
  <si>
    <t>Tampas 3,40 x 2,00 ( Nova Metodologia)</t>
  </si>
  <si>
    <t>Pv-09</t>
  </si>
  <si>
    <t xml:space="preserve">Rede de Esgoto Paralela a galeria </t>
  </si>
  <si>
    <t xml:space="preserve">Fechamento de Ramais de Esgoto das Edificações </t>
  </si>
  <si>
    <t xml:space="preserve">Trecho da Ponte </t>
  </si>
  <si>
    <t>31/06/2023</t>
  </si>
  <si>
    <t>Trecho da Ponte ( 3 Bombas)</t>
  </si>
  <si>
    <t xml:space="preserve">Pendências Medições passadas </t>
  </si>
  <si>
    <t xml:space="preserve">Elevação até o Greide da rua </t>
  </si>
  <si>
    <t xml:space="preserve">Tampas removivéis </t>
  </si>
  <si>
    <t>Tampas removíveis 3,40x2,00 ( Pende)</t>
  </si>
  <si>
    <t>Total</t>
  </si>
  <si>
    <t xml:space="preserve">Planilha </t>
  </si>
  <si>
    <t xml:space="preserve">Pendência </t>
  </si>
  <si>
    <t>Medição  do Item 3.5.9</t>
  </si>
  <si>
    <t>Tampas removivéis ¢ 12,5 -    Pos. N 4</t>
  </si>
  <si>
    <t>Reforço  das Tampas em barra de ¢ 12,5   2x</t>
  </si>
  <si>
    <t xml:space="preserve">Tela Q 283  das tampas </t>
  </si>
  <si>
    <t xml:space="preserve">Projeto em Anexo </t>
  </si>
  <si>
    <t>Transferencia do saldo negativo 3.5.9</t>
  </si>
  <si>
    <t>Esgotamento de água com bomba submersa -  Dezembro  - 2023</t>
  </si>
  <si>
    <t>Junho</t>
  </si>
  <si>
    <t>Julho</t>
  </si>
  <si>
    <t>Grupo Gerador de energia 60 Kva - Julho  2024</t>
  </si>
  <si>
    <t>Grupo Gerador de energia 60 Kva - Junho  2024</t>
  </si>
  <si>
    <t>Grupo Gerador de energia 60 Kva - Maio  2024</t>
  </si>
  <si>
    <t>Grupo Gerador de energia 60 Kva - Abril  2024</t>
  </si>
  <si>
    <t xml:space="preserve">Escavação no Canal Aribiri </t>
  </si>
  <si>
    <t>Transferencia de Saldo do Item 4.1.16</t>
  </si>
  <si>
    <t>Transferido para o Item 2.1.1</t>
  </si>
  <si>
    <t>Glosa</t>
  </si>
  <si>
    <t xml:space="preserve">Glosa </t>
  </si>
  <si>
    <t>Transferencia de Saldo do item 4.1.17</t>
  </si>
  <si>
    <t xml:space="preserve">Transferência de Saldo </t>
  </si>
  <si>
    <t xml:space="preserve">Caixa de Junção das Galerias </t>
  </si>
  <si>
    <t>Transporte de maquinas e equipamentos (Obra x Bota Espera)</t>
  </si>
  <si>
    <t xml:space="preserve">Emendas de ramais de água </t>
  </si>
  <si>
    <t xml:space="preserve">Ancoragem do Poste da Sorveteria </t>
  </si>
  <si>
    <t>Ancoragem do Poste " Peixeiro"</t>
  </si>
  <si>
    <t>Ancoragem do Poste " Galeria existente "</t>
  </si>
  <si>
    <t>Aluguel mensal de container tipo escritório - Març- 2023</t>
  </si>
  <si>
    <t>Aluguel mensal de container tipoescritório - Junho-2023</t>
  </si>
  <si>
    <t>Aluguel mensal de container tipo escritório - Julho-2023</t>
  </si>
  <si>
    <t>Aluguel mensal de container tipo escritório - agosto-2023</t>
  </si>
  <si>
    <t>Junho / Julho</t>
  </si>
  <si>
    <t>VALORES(R$)+ 1°Aditi+2°Aditi</t>
  </si>
  <si>
    <t xml:space="preserve">Diversos de Canteiro </t>
  </si>
  <si>
    <t xml:space="preserve">Serviços embaixo da Ponte </t>
  </si>
  <si>
    <t xml:space="preserve">Sondagem Manual </t>
  </si>
  <si>
    <t>Refeitório</t>
  </si>
  <si>
    <t xml:space="preserve">Sanitários </t>
  </si>
  <si>
    <t xml:space="preserve">Escritório </t>
  </si>
  <si>
    <t xml:space="preserve">Almoxarifado </t>
  </si>
  <si>
    <t xml:space="preserve">Vestiários </t>
  </si>
  <si>
    <t>Glosa da Fiscalização</t>
  </si>
  <si>
    <t xml:space="preserve">Lastro Com Material Granular - Ernesto </t>
  </si>
  <si>
    <t>Aluguel mensal de container tipo refeitório - Agosto-2024</t>
  </si>
  <si>
    <t>Aluguel mensal de container tipo escritório - Agosto -2024</t>
  </si>
  <si>
    <t>Aluguel mensal de container tipo almoxarifado - Agosto -2024</t>
  </si>
  <si>
    <t>Aluguel mensal de container tipo sanitário - Agosto -2024</t>
  </si>
  <si>
    <t>Grupo Gerador de energia 60 Kva - Agosto  2024</t>
  </si>
  <si>
    <t>Aluguel mensal de bomba Agosto    - 2024</t>
  </si>
  <si>
    <t xml:space="preserve">Proteção das Galerias </t>
  </si>
  <si>
    <t>Agosto</t>
  </si>
  <si>
    <t xml:space="preserve">Alvenaria de bloco (39 x 19 x 09) cm espessura 09 cm </t>
  </si>
  <si>
    <t xml:space="preserve">Muro do Vizinho </t>
  </si>
  <si>
    <t>LAR</t>
  </si>
  <si>
    <t>COM</t>
  </si>
  <si>
    <t>HAL</t>
  </si>
  <si>
    <t xml:space="preserve">Rede de Recalque para Bombeamento </t>
  </si>
  <si>
    <t>Direcionamento de água para o canal</t>
  </si>
  <si>
    <t xml:space="preserve">Aplicação na Rua Ernesto Guimarães </t>
  </si>
  <si>
    <t>Transporte para o Bota Espera</t>
  </si>
  <si>
    <t>Proteção mecânica por cima das Galerias - Argila</t>
  </si>
  <si>
    <t xml:space="preserve">Proteção mecânica por cima das Galerias </t>
  </si>
  <si>
    <t xml:space="preserve">Pequenos reparos na rede </t>
  </si>
  <si>
    <t>Forma nas Laterais da Laje Superior - Ernesto Lateral</t>
  </si>
  <si>
    <t>Forma nas Laterais da Laje Superior - Ernesto  Frontal</t>
  </si>
  <si>
    <t xml:space="preserve">QUANT.  TELA </t>
  </si>
  <si>
    <t>Sendo uma tela e meia por posição</t>
  </si>
  <si>
    <t>MEDIDO NO ITEM 2.5.11</t>
  </si>
  <si>
    <t xml:space="preserve">Bombeamento de água na Jusante </t>
  </si>
  <si>
    <t>Transporte para Destinação - Rua Ernesto Guimarães até AB Soluções.</t>
  </si>
  <si>
    <t>Pedro, você quer que jogamos uma caçamba trunck de mais de  40T em cima das galerias assentadas, por cima dessas tampas ?, se você se responsabilizar ?, mas antes eu preciso que você venha aqui conversar com donos do bairro !</t>
  </si>
  <si>
    <t>Temos que jogar executar o lastro na  largura da Vala, devido a rua ser muito apertada não temos como manobrar a escavadeira. Por isso a vala ficcou um pouco mais larga</t>
  </si>
  <si>
    <t xml:space="preserve">Este valor de 1,71 já foi debatido em reunião, este é uma porcentagem acordada para o transporte do material para o bota espera, e não para a sua destinação., Você esta impondo novos processos de medição sem a altorização das partes., é só acompanhar as memorias anteriores da planilha e nada mais ! </t>
  </si>
  <si>
    <t xml:space="preserve">Tem que medir, esta bomba fica a disposição 24 hs, e usamos ela à Montante sempre </t>
  </si>
  <si>
    <t>Porque cortou ?, sempre colocamos as telas infelizmente aqui em Santa Rita é muito complicado.</t>
  </si>
  <si>
    <t>Isolamento lajes concretadas</t>
  </si>
  <si>
    <t>ISOLAMENTO LATERAL</t>
  </si>
  <si>
    <t>Aluguel mensal de container tipo refeitório - Setembro-2024</t>
  </si>
  <si>
    <t>Aluguel mensal de container tipo sanitário - Setembro -2024</t>
  </si>
  <si>
    <t>31/09/2024</t>
  </si>
  <si>
    <t>Aluguel mensal de container tipo escritório - Setembro -2024</t>
  </si>
  <si>
    <t>Aluguel mensal de container tipo almoxarifado - Setembro -2024</t>
  </si>
  <si>
    <t>Aluguel mensal de container tipo vestiário -Agosto-2024</t>
  </si>
  <si>
    <t>Aluguel mensal de container tipo vestiário -Setembro-2024</t>
  </si>
  <si>
    <t>Fundo da Caixa de Ligação</t>
  </si>
  <si>
    <t>Execução da Caixa de Ligação</t>
  </si>
  <si>
    <t>Esgotamento de água com bomba submersa -  Janeiro - 2024</t>
  </si>
  <si>
    <t>Esgotamento de água com bomba submersa -  Agosto - 2024</t>
  </si>
  <si>
    <t>Esgotamento de água com bomba submersa -  Setembro - 2024</t>
  </si>
  <si>
    <t xml:space="preserve">Caixa de Ligação </t>
  </si>
  <si>
    <t>Grupo Gerador de energia 60 Kva - Setembro  2024</t>
  </si>
  <si>
    <t>Aluguel mensal de bomba Setembro    - 2024</t>
  </si>
  <si>
    <t xml:space="preserve">Fechamento da área concretada </t>
  </si>
  <si>
    <t xml:space="preserve">Concreto  - Fundo da Caixa de Ligação </t>
  </si>
  <si>
    <t xml:space="preserve">Mèdia </t>
  </si>
  <si>
    <t xml:space="preserve">Troca de Tampa Removivél </t>
  </si>
  <si>
    <t xml:space="preserve">Troca de tampa na Galeria existente </t>
  </si>
  <si>
    <t xml:space="preserve">Galeria existente x Nova Galeria </t>
  </si>
  <si>
    <t xml:space="preserve">Tampa removível Danificada </t>
  </si>
  <si>
    <t xml:space="preserve">Tampa removível Danificada - Galeria Existentes </t>
  </si>
  <si>
    <t>Direcionamento de água para o canal- Jusante</t>
  </si>
  <si>
    <t xml:space="preserve">Caixa de Junção das Galerias- Montante </t>
  </si>
  <si>
    <t xml:space="preserve">Tampa danificada </t>
  </si>
  <si>
    <t xml:space="preserve">Galeria Existente </t>
  </si>
  <si>
    <t xml:space="preserve">Laje Superio das Galerias </t>
  </si>
  <si>
    <t>Retirada de proteção mecânica sobre galerias</t>
  </si>
  <si>
    <t>Tampa removivél 3,40x2,00 m</t>
  </si>
  <si>
    <t xml:space="preserve">Tela Q 283  das tampa- Galeria Existente </t>
  </si>
  <si>
    <t xml:space="preserve">Reforço  das Tampas em barra de ¢ 12,5   2x - Galeria Existente </t>
  </si>
  <si>
    <t xml:space="preserve">Tampas removivéis ¢ 12,5 -    Pos. N 4 - Galeria Existente </t>
  </si>
  <si>
    <t>Tampa removivél 2,00x2,00 m</t>
  </si>
  <si>
    <t xml:space="preserve">Tampa removivél 3,40x2,00 m </t>
  </si>
  <si>
    <t>TR 10 e Tampa da galeria existente - Ernesto</t>
  </si>
  <si>
    <t>Comp.</t>
  </si>
  <si>
    <t xml:space="preserve">Fundo da Caixa de Ligação das Galerias </t>
  </si>
  <si>
    <t>Lateral do Berço no fundo da caixa</t>
  </si>
  <si>
    <t xml:space="preserve">Lateral - Reposição tampa danificada </t>
  </si>
  <si>
    <t>Paredes laterais da caixa de Ligação</t>
  </si>
  <si>
    <t>Setembro</t>
  </si>
  <si>
    <t>Caixa de Ligação</t>
  </si>
  <si>
    <t xml:space="preserve"> DECRÉSCIMO DE CONTRATO 3° Adi</t>
  </si>
  <si>
    <t xml:space="preserve"> ACRÉSCIMO DE CONTRATO ° 3° Adi</t>
  </si>
  <si>
    <t xml:space="preserve">Assentamento de Galerias </t>
  </si>
  <si>
    <t>Aluguel mensal de container tipo refeitório - Outubro-2024</t>
  </si>
  <si>
    <t>Aluguel mensal de container tipo refeitório - Novembro-2024</t>
  </si>
  <si>
    <t>Aluguel mensal de container tipo refeitório - Dezembro-2024</t>
  </si>
  <si>
    <t>Aluguel mensal de container tipo refeitório - Janeiro-2025</t>
  </si>
  <si>
    <t>Aluguel mensal de container tipo sanitário - Outubro -2024</t>
  </si>
  <si>
    <t>Aluguel mensal de container tipo sanitário - Novembro -2024</t>
  </si>
  <si>
    <t>Aluguel mensal de container tipo sanitário - Dezembro -2024</t>
  </si>
  <si>
    <t>Aluguel mensal de container tipo sanitário - Janeiro -2024</t>
  </si>
  <si>
    <t>Aluguel mensal de container tipo escritório - Outubro -2024</t>
  </si>
  <si>
    <t>Aluguel mensal de container tipo escritório - Novembro -2024</t>
  </si>
  <si>
    <t>Aluguel mensal de container tipo escritório - Dezembro -2024</t>
  </si>
  <si>
    <t>Aluguel mensal de container tipo escritório - Janeiro -2025</t>
  </si>
  <si>
    <t>Aluguel mensal de container tipo almoxarifado - Outubro -2024</t>
  </si>
  <si>
    <t>Aluguel mensal de container tipo almoxarifado - Novembro -2024</t>
  </si>
  <si>
    <t>Aluguel mensal de container tipo almoxarifado - Dezembro -2024</t>
  </si>
  <si>
    <t>Aluguel mensal de container tipo almoxarifado - Janeiro -2025</t>
  </si>
  <si>
    <t>Aluguel mensal de container tipo vestiário -Outubro-2024</t>
  </si>
  <si>
    <t>Aluguel mensal de container tipo vestiário -Novembro-2024</t>
  </si>
  <si>
    <t>Aluguel mensal de container tipo vestiário -Dezembro -2024</t>
  </si>
  <si>
    <t>Aluguel mensal de container tipo vestiário - Janeiro-2025</t>
  </si>
  <si>
    <t>T - 16</t>
  </si>
  <si>
    <t>u</t>
  </si>
  <si>
    <t>Lados</t>
  </si>
  <si>
    <t xml:space="preserve">Lados </t>
  </si>
  <si>
    <t>Avanço</t>
  </si>
  <si>
    <t>Aluguel mensal de bomba Outubro     - 2024</t>
  </si>
  <si>
    <t>Aluguel mensal de bomba Janeiro     - 2025</t>
  </si>
  <si>
    <t>Concretagem e Desforma da caixa de ligação</t>
  </si>
  <si>
    <t>Grupo Gerador de energia 60 Kva - Outubro  2024</t>
  </si>
  <si>
    <t>Grupo Gerador de energia 60 Kva - Janeiro  2025</t>
  </si>
  <si>
    <t xml:space="preserve">Fechamento Diário </t>
  </si>
  <si>
    <t xml:space="preserve">Fundo da tampa removível danificada </t>
  </si>
  <si>
    <t>Formas  - Tampas das galerias abertas ( Perímetro da Forma )</t>
  </si>
  <si>
    <t>uns</t>
  </si>
  <si>
    <t>Casa na Rua Leopoldo Temporâneo</t>
  </si>
  <si>
    <t>Prédio rosa na rua Leopoldo Temporâneo</t>
  </si>
  <si>
    <t xml:space="preserve">Caixa executadas na lateral do Canal Aribiri. </t>
  </si>
  <si>
    <t xml:space="preserve">Fechamento da Rua Silvio Avido </t>
  </si>
  <si>
    <t>Fechamento da Rua São Judas Tadeu  ( nos dois sentidos)</t>
  </si>
  <si>
    <t>Rede lado esquerdo da galeria</t>
  </si>
  <si>
    <t xml:space="preserve">Fechamento de Ramais diversos de esgoto </t>
  </si>
  <si>
    <t>Parede de Conteção na Galeria 2x2</t>
  </si>
  <si>
    <t>Tampa da Galeria Aberta   -  T16</t>
  </si>
  <si>
    <t>Tampa removivél 2,00x2,00 m  - T-16,15 e 14</t>
  </si>
  <si>
    <t>TR 15 e 16</t>
  </si>
  <si>
    <t>TR - 17</t>
  </si>
  <si>
    <t>Esgotamento de água com bomba submersa -  Janeiro - 2025</t>
  </si>
  <si>
    <t>Outubro</t>
  </si>
  <si>
    <t>Novembro</t>
  </si>
  <si>
    <t xml:space="preserve">Vista e aterro Mecanizado </t>
  </si>
  <si>
    <t xml:space="preserve">Área aterrada </t>
  </si>
  <si>
    <t xml:space="preserve">Carga para destinação final do material </t>
  </si>
  <si>
    <t>Vista do Material para o Lastro</t>
  </si>
  <si>
    <t xml:space="preserve">Esgotamento de água </t>
  </si>
  <si>
    <t>Vista da Parede de contenção</t>
  </si>
  <si>
    <t>Telas de Proteção</t>
  </si>
  <si>
    <t xml:space="preserve">Vista Posto de Vigilância </t>
  </si>
  <si>
    <t>Vista do Gerador</t>
  </si>
  <si>
    <t>Vista do Gerador em uso</t>
  </si>
  <si>
    <t xml:space="preserve">Movimentação de aduelas </t>
  </si>
  <si>
    <t xml:space="preserve">Apoio nas escavações </t>
  </si>
  <si>
    <t>Religação de rede de água em PVC DN 20mm</t>
  </si>
  <si>
    <t xml:space="preserve">Trechos com os devido meios fio retirados </t>
  </si>
  <si>
    <t>Vista do trecho à retira  os meios fios na estaca 41</t>
  </si>
  <si>
    <t>3.5.1 A</t>
  </si>
  <si>
    <t>Fornecimento e assentamento de galeria de concreto pré-moldado 2 X 2 metros fechada (tampa fixa)</t>
  </si>
  <si>
    <t>SERVIÇOS NOVOS  3° Adit</t>
  </si>
  <si>
    <t>Estorno 5° Termo de Aditivo - Susbstituído pelo item 3.5.1A</t>
  </si>
  <si>
    <t>Assentamento de galerias medidas em substituição ao item 4.31</t>
  </si>
  <si>
    <t>Escoramento lateral da escavação</t>
  </si>
  <si>
    <t>Escoramento frontal, uma vez que, ao final do dia, as valas são fechadas e o escoramento é colocado de forma a impedir a entrada de material na galeria.</t>
  </si>
  <si>
    <t>Aplicação na Rua Ernesto Guimarães   - Aumento de altura referente ao projeto devido a laje de fundo ser realocada para a parte superior da galeria.</t>
  </si>
  <si>
    <t xml:space="preserve">22 dias úteis de 12 horas trabalhadas e 4 sábados de 8 horas trabalhadas. </t>
  </si>
  <si>
    <t>M</t>
  </si>
  <si>
    <t>Medido por falta de saldo no item 3.1.1</t>
  </si>
  <si>
    <t>Esgotamento de água com bomba submersa -  Fevvereiro - 2025</t>
  </si>
  <si>
    <t>Galeria existente</t>
  </si>
  <si>
    <t xml:space="preserve">Manilha Encontrada </t>
  </si>
  <si>
    <t>Grupo Gerador de energia 60 Kva - Favereiro  2025</t>
  </si>
  <si>
    <t>Aluguel mensal de bomba Fevereiro     - 2025</t>
  </si>
  <si>
    <t>Fevereiro</t>
  </si>
  <si>
    <t xml:space="preserve">Escavações Mecânicas </t>
  </si>
  <si>
    <t xml:space="preserve">Redirecionamento de recalque a montante </t>
  </si>
  <si>
    <t xml:space="preserve">Escoramento Frontal </t>
  </si>
  <si>
    <t xml:space="preserve">Vista da área do bota espera </t>
  </si>
  <si>
    <t xml:space="preserve">Destinação final do material escavado </t>
  </si>
  <si>
    <t>Trecho sem a pavimentação</t>
  </si>
  <si>
    <t xml:space="preserve">Vista da parede de contenção a Lançar </t>
  </si>
  <si>
    <t>Vista da Guarita na Frente de Serviço</t>
  </si>
  <si>
    <t xml:space="preserve">Rede de esgoto a remanejar </t>
  </si>
  <si>
    <t xml:space="preserve">Descobrindo redes a remanejar </t>
  </si>
  <si>
    <t>Remanejamento de Rede de Esgoto</t>
  </si>
  <si>
    <t>Vista do Banheiro Químico na Frente de Serviço</t>
  </si>
  <si>
    <t>Tampão Fofo Articulado, Classe B125 Carga Max 12,5 T, Redondo Tampa 600 Mm, Rede Pluvial/Esgoto, P = Chaminé Cx Areia / Poço Visita Assentado Com Arg Cim/Areia 1:4, Fornecimento E Assentamento</t>
  </si>
  <si>
    <t>Tampão Fofo Articulado, Classe B125 Carga Max 12,5 T, Redondo Tampa 600 Mm, Rede Pluvial/Esgoto, P = Chaminé Cx Areia / Poco Visita Assentado Com Arg Cim/Areia 1:4, Fornecimento E Assentamento</t>
  </si>
  <si>
    <t xml:space="preserve">Pedro, Temos que executar a retirada de toda a caixa de rua, se não conseguirmos trabalhar nos ramais de esgoto, rede de água e tc... Temos que executar a concordância no trecho, nos trechos para trás executamos com 7 porque a largura era maior, agora este é complicado., não conseguimos executa. </t>
  </si>
  <si>
    <t>Executado</t>
  </si>
  <si>
    <t xml:space="preserve">Volume escavado, diferente de volume destinado, uma vez que consta material no Bota Espera </t>
  </si>
  <si>
    <t>ÁREA TOTAL (M²)</t>
  </si>
  <si>
    <t>Fechamento Lateral</t>
  </si>
  <si>
    <t xml:space="preserve">Fechamento Frontal </t>
  </si>
  <si>
    <t>Aluguel mensal de container tipo sanitário - Março -2024</t>
  </si>
  <si>
    <t>Aluguel mensal de container tipo sanitário - Fevereiro -2024</t>
  </si>
  <si>
    <t>Aluguel mensal de container tipo escritório - Fevereiro -2025</t>
  </si>
  <si>
    <t>Aluguel mensal de container tipo escritório - Março -2025</t>
  </si>
  <si>
    <t>Aluguel mensal de container tipo almoxarifado - Fevereiro -2025</t>
  </si>
  <si>
    <t>Aluguel mensal de container tipo almoxarifado - Março -2025</t>
  </si>
  <si>
    <t>ÁREA (m³)</t>
  </si>
  <si>
    <t>Retirada de Proteção Mecânica sobre Galerias assentadas</t>
  </si>
  <si>
    <t>Esgotamento de água com bomba submersa -  Fevereiro - 2025</t>
  </si>
  <si>
    <t>Esgotamento de água com bomba submersa -  Março - 2025</t>
  </si>
  <si>
    <t xml:space="preserve">Perimetro </t>
  </si>
  <si>
    <t>FECHAMEN.</t>
  </si>
  <si>
    <t>Lateral das Lajes SuperioreS</t>
  </si>
  <si>
    <t xml:space="preserve">Fechamentos Frontais </t>
  </si>
  <si>
    <t>Grupo Gerador de energia 60 Kva - Março  2025</t>
  </si>
  <si>
    <t>Aluguel mensal de bomba Março     - 2025</t>
  </si>
  <si>
    <t xml:space="preserve">Solicitado pela Fiscalização - Caminho para a Comunidade </t>
  </si>
  <si>
    <t>Liberado Pela Fiscalização</t>
  </si>
  <si>
    <t xml:space="preserve">Execução de rede de água DN 60 Paralelo a Galeria </t>
  </si>
  <si>
    <t xml:space="preserve">Fechamento </t>
  </si>
  <si>
    <t>Caminhão para transporte</t>
  </si>
  <si>
    <t xml:space="preserve">Vista da Manilha existente </t>
  </si>
  <si>
    <t>Vista da manilha no eixo da escavação</t>
  </si>
  <si>
    <t xml:space="preserve">Rede bombeamento a Jusante </t>
  </si>
  <si>
    <t xml:space="preserve">Nivelamento e preparação </t>
  </si>
  <si>
    <t>Inicio dos escoramentos laterais na estaca 23</t>
  </si>
  <si>
    <t>Assentamento de Galeria Aberta</t>
  </si>
  <si>
    <t>Assentamento de Galeria Fechada</t>
  </si>
  <si>
    <t>Aluguel mensal de container tipo refeitório - Fevereiro-2025</t>
  </si>
  <si>
    <t>Aluguel mensal de container tipo refeitório - Março -2025</t>
  </si>
  <si>
    <t>Aluguel mensal de container tipo vestiário - Fevereiro-2025</t>
  </si>
  <si>
    <t>Aluguel mensal de container tipo vestiário - Março-2025</t>
  </si>
  <si>
    <t>Esgotamento de água com bomba submersa -  Abril  - 2025</t>
  </si>
  <si>
    <t>Esgotamento de água com bomba submersa -  Maio - 2025</t>
  </si>
  <si>
    <t xml:space="preserve">Execução de Guarita em Canteiro de Obra em chapa de Madeira compensada - </t>
  </si>
  <si>
    <t>Grupo Gerador de energia 60 Kva - Abril  2025</t>
  </si>
  <si>
    <t>Grupo Gerador de energia 60 Kva - Maio  2025</t>
  </si>
  <si>
    <t>Aluguel mensal de bomba Abril     - 2025</t>
  </si>
  <si>
    <t>Aluguel mensal de bomba Maio      - 2025</t>
  </si>
  <si>
    <t>Reparos necessarios solicitado pela fiscalização</t>
  </si>
  <si>
    <t>Carregamento</t>
  </si>
  <si>
    <t xml:space="preserve">Serviço de Bombeamento </t>
  </si>
  <si>
    <t xml:space="preserve">Vista da armação </t>
  </si>
  <si>
    <t xml:space="preserve">Fabricação, montagem e desmontagem de forma em chapa de madeira </t>
  </si>
  <si>
    <t>Rede de esgoto</t>
  </si>
  <si>
    <t>Escavações para a rede de esgoto</t>
  </si>
  <si>
    <t xml:space="preserve">Saldo </t>
  </si>
  <si>
    <t xml:space="preserve">Recomposição - São Judas Tadeu </t>
  </si>
  <si>
    <t xml:space="preserve">Devido ao estreitamento da Rua </t>
  </si>
  <si>
    <t xml:space="preserve">Remanejamento de ramais </t>
  </si>
  <si>
    <t xml:space="preserve">Pegando o Material para aplicação </t>
  </si>
  <si>
    <t xml:space="preserve">Vista do Material </t>
  </si>
  <si>
    <t xml:space="preserve">Vista da guarita </t>
  </si>
  <si>
    <t>Aluguel mensal de container tipo escritório - Abril -2025</t>
  </si>
  <si>
    <t>Aluguel mensal de container tipo escritório - Maio -2025</t>
  </si>
  <si>
    <t>31/06/2025</t>
  </si>
  <si>
    <t xml:space="preserve">Desmobilização </t>
  </si>
  <si>
    <t xml:space="preserve">Aterro lateral das galerias - Ramais de água </t>
  </si>
  <si>
    <t xml:space="preserve">Aterro lateral das galerias - Rede de água </t>
  </si>
  <si>
    <t xml:space="preserve">TR 17 </t>
  </si>
  <si>
    <t>Rede de Recalque para Bombeamento - Caixa de Ligação 01</t>
  </si>
  <si>
    <t>Rede de Recalque para Bombeamento - Caixa de Ligação 02</t>
  </si>
  <si>
    <t>Rede de Recalque para Bombeamento - Caixa de Ligação 03</t>
  </si>
  <si>
    <t>Rede de Recalque para Bombeamento - Caixa de Ligação 04</t>
  </si>
  <si>
    <t xml:space="preserve">Mobilização         - Ferramentária </t>
  </si>
  <si>
    <t xml:space="preserve">Desmobilização   - Ferramentária </t>
  </si>
  <si>
    <t>Escoramento cavas com prancha metálica- Caixa de Ligação 1</t>
  </si>
  <si>
    <t>Escoramento cavas com prancha metálica- Caixa de Ligação 2</t>
  </si>
  <si>
    <t>Escoramento cavas com prancha metálica- Caixa de Ligação 3</t>
  </si>
  <si>
    <t>Escoramento cavas com prancha metálica- Caixa de Ligação 4</t>
  </si>
  <si>
    <t xml:space="preserve">Remanejamento de rede existente </t>
  </si>
  <si>
    <t>Caixa de Ligação 1</t>
  </si>
  <si>
    <t>Caixa de Ligação 3</t>
  </si>
  <si>
    <t xml:space="preserve">Contenção Contra Maré </t>
  </si>
  <si>
    <t xml:space="preserve">Ligação da Manilha DN 800 na Galeria </t>
  </si>
  <si>
    <t>Autorizado pela Fiscalização</t>
  </si>
  <si>
    <t>Caminho de Serviço no Final do Trecho</t>
  </si>
  <si>
    <t>Aluguel mensal de bomba Junho      - 2025</t>
  </si>
  <si>
    <t>Aluguel mensal de bomba Julho      - 2025</t>
  </si>
  <si>
    <t>Grupo Gerador de energia 60 Kva - Junho  2025</t>
  </si>
  <si>
    <t>Grupo Gerador de energia 60 Kva - Julho  2025</t>
  </si>
  <si>
    <t>Caixa de Ligação 01</t>
  </si>
  <si>
    <t>Caixa de Ligação 02</t>
  </si>
  <si>
    <t>Caixa de Ligação 03</t>
  </si>
  <si>
    <t>Caixa de Ligação 04</t>
  </si>
  <si>
    <t xml:space="preserve">Forma regularização das Calçadas </t>
  </si>
  <si>
    <t xml:space="preserve">Regularização das Calçadas </t>
  </si>
  <si>
    <t>LD</t>
  </si>
  <si>
    <t xml:space="preserve">Conretagem =  regularização das Calçadas </t>
  </si>
  <si>
    <t xml:space="preserve">Conretagem =  Regularização das Calçadas </t>
  </si>
  <si>
    <t xml:space="preserve">Escavação - Complemento das Calçadas </t>
  </si>
  <si>
    <t>Base para aplicação de CBUQ</t>
  </si>
  <si>
    <t xml:space="preserve">Imprimação </t>
  </si>
  <si>
    <t>Transporte do CBUQ</t>
  </si>
  <si>
    <t xml:space="preserve">Glosa - Fiscalização </t>
  </si>
  <si>
    <t>Aluguel mensal de container tipo escritório - Junho -2025</t>
  </si>
  <si>
    <t>Aluguel mensal de container tipo escritório - Julho -2025</t>
  </si>
  <si>
    <t>Aluguel mensal de container tipo escritório - Agosto -2025</t>
  </si>
  <si>
    <t xml:space="preserve">Destinação final- Mat. Estocado </t>
  </si>
  <si>
    <t xml:space="preserve">Transporte BGS- Brasitália  x  Obra </t>
  </si>
  <si>
    <t>Aluguel mensal de container tipo escritório - Setembro -2025</t>
  </si>
  <si>
    <t>31/09/2025</t>
  </si>
  <si>
    <t>01/06/2025 a 31/09/2025</t>
  </si>
  <si>
    <t>PESO (Kg/unidade)</t>
  </si>
  <si>
    <t xml:space="preserve"> Remoção de solos moles, incluindo carregamento mecânico com escavadeira hidráulica emVias Urbanas</t>
  </si>
  <si>
    <t>VALDIK ESCAPINI FANCHIOTTI</t>
  </si>
  <si>
    <t>01/06 a 31/08/2025</t>
  </si>
  <si>
    <t>Fechamento da Rua São Lucas  ( nos dois sentidos)</t>
  </si>
  <si>
    <t xml:space="preserve">Demolição de estrutura de madeira </t>
  </si>
  <si>
    <t xml:space="preserve">GLOSA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</si>
</sst>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00&quot;ª Medição Provisória&quot;"/>
    <numFmt numFmtId="165" formatCode="#,##0.000"/>
    <numFmt numFmtId="166" formatCode="General&quot;ª Medição Provisória&quot;"/>
    <numFmt numFmtId="167" formatCode="00&quot;ª MEDIÇÃO&quot;"/>
    <numFmt numFmtId="168" formatCode="_(* #,##0.00_);_(* \(#,##0.00\);_(* &quot;-&quot;??_);_(@_)"/>
    <numFmt numFmtId="169" formatCode="_(* #,##0.000_);_(* \(#,##0.000\);_(* &quot;-&quot;??_);_(@_)"/>
    <numFmt numFmtId="170" formatCode="_-* #,##0.000000000_-;\-* #,##0.000000000_-;_-* &quot;-&quot;??_-;_-@_-"/>
    <numFmt numFmtId="171" formatCode="0&quot;ª MP&quot;"/>
    <numFmt numFmtId="172" formatCode="_-* #,##0.000_-;\-* #,##0.000_-;_-* &quot;-&quot;??_-;_-@_-"/>
    <numFmt numFmtId="173" formatCode="@&quot;ª MP&quot;"/>
    <numFmt numFmtId="174" formatCode="0.000"/>
    <numFmt numFmtId="175" formatCode="_-* #,##0.000_-;\-* #,##0.000_-;_-* &quot;-&quot;???_-;_-@_-"/>
    <numFmt numFmtId="176" formatCode="0.0"/>
    <numFmt numFmtId="177" formatCode="&quot;R$ &quot;#,##0.00_);[Red]\(&quot;R$ &quot;#,##0.00\)"/>
    <numFmt numFmtId="178" formatCode="dd/mm/yy;@"/>
    <numFmt numFmtId="179" formatCode="00"/>
    <numFmt numFmtId="180" formatCode="_-* #,##0.0000_-;\-* #,##0.0000_-;_-* &quot;-&quot;??_-;_-@_-"/>
    <numFmt numFmtId="181" formatCode="_(* #,##0.0000_);_(* \(#,##0.0000\);_(* &quot;-&quot;??_);_(@_)"/>
    <numFmt numFmtId="182" formatCode="0.000%"/>
  </numFmts>
  <fonts count="93">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sz val="10"/>
      <color theme="1"/>
      <name val="Arial"/>
      <family val="2"/>
    </font>
    <font>
      <b/>
      <sz val="9"/>
      <name val="Arial"/>
      <family val="2"/>
    </font>
    <font>
      <sz val="10"/>
      <name val="Times New Roman"/>
      <family val="1"/>
    </font>
    <font>
      <sz val="9"/>
      <name val="Arial"/>
      <family val="2"/>
    </font>
    <font>
      <sz val="10"/>
      <color rgb="FFFF0000"/>
      <name val="Arial"/>
      <family val="2"/>
    </font>
    <font>
      <b/>
      <i/>
      <sz val="10"/>
      <color rgb="FFFF0000"/>
      <name val="Arial"/>
      <family val="2"/>
    </font>
    <font>
      <sz val="10"/>
      <color indexed="22"/>
      <name val="Arial"/>
      <family val="2"/>
    </font>
    <font>
      <b/>
      <sz val="11"/>
      <name val="Arial Narrow"/>
      <family val="2"/>
    </font>
    <font>
      <b/>
      <sz val="10"/>
      <name val="Arial"/>
      <family val="2"/>
    </font>
    <font>
      <sz val="11"/>
      <color theme="1"/>
      <name val="Arial Narrow"/>
      <family val="2"/>
    </font>
    <font>
      <sz val="11"/>
      <name val="Arial Narrow"/>
      <family val="2"/>
    </font>
    <font>
      <b/>
      <sz val="10"/>
      <color theme="1"/>
      <name val="Arial"/>
      <family val="2"/>
    </font>
    <font>
      <b/>
      <sz val="10"/>
      <color indexed="8"/>
      <name val="Arial"/>
      <family val="2"/>
    </font>
    <font>
      <sz val="10"/>
      <color indexed="8"/>
      <name val="Arial"/>
      <family val="2"/>
    </font>
    <font>
      <sz val="9"/>
      <color indexed="8"/>
      <name val="Arial"/>
      <family val="2"/>
    </font>
    <font>
      <sz val="10"/>
      <color rgb="FF0000FF"/>
      <name val="Arial"/>
      <family val="2"/>
    </font>
    <font>
      <b/>
      <sz val="11"/>
      <name val="Arial"/>
      <family val="2"/>
    </font>
    <font>
      <sz val="11"/>
      <name val="Arial"/>
      <family val="2"/>
    </font>
    <font>
      <sz val="11"/>
      <color rgb="FF0000FF"/>
      <name val="Arial"/>
      <family val="2"/>
    </font>
    <font>
      <sz val="11"/>
      <color theme="1"/>
      <name val="Arial"/>
      <family val="2"/>
    </font>
    <font>
      <b/>
      <sz val="14"/>
      <name val="Arial"/>
      <family val="2"/>
    </font>
    <font>
      <b/>
      <sz val="11"/>
      <name val="Calibri"/>
      <family val="2"/>
      <scheme val="minor"/>
    </font>
    <font>
      <sz val="11"/>
      <name val="Calibri"/>
      <family val="2"/>
      <scheme val="minor"/>
    </font>
    <font>
      <sz val="10"/>
      <color theme="1"/>
      <name val="Calibri"/>
      <family val="2"/>
      <scheme val="minor"/>
    </font>
    <font>
      <b/>
      <sz val="11"/>
      <color theme="1"/>
      <name val="Calibri"/>
      <family val="2"/>
    </font>
    <font>
      <sz val="10"/>
      <color rgb="FF000000"/>
      <name val="Arial"/>
      <family val="2"/>
    </font>
    <font>
      <b/>
      <sz val="11"/>
      <name val="Calibri"/>
      <family val="2"/>
    </font>
    <font>
      <b/>
      <sz val="11"/>
      <color rgb="FFFF0000"/>
      <name val="Calibri"/>
      <family val="2"/>
    </font>
    <font>
      <b/>
      <sz val="12"/>
      <color rgb="FFFF0000"/>
      <name val="Arial"/>
      <family val="2"/>
    </font>
    <font>
      <sz val="11"/>
      <name val="Calibri"/>
      <family val="2"/>
    </font>
    <font>
      <sz val="11"/>
      <color rgb="FF0000FF"/>
      <name val="Calibri"/>
      <family val="2"/>
      <scheme val="minor"/>
    </font>
    <font>
      <b/>
      <sz val="12"/>
      <color theme="1"/>
      <name val="Arial"/>
      <family val="2"/>
    </font>
    <font>
      <b/>
      <sz val="11"/>
      <color theme="1"/>
      <name val="Arial"/>
      <family val="2"/>
    </font>
    <font>
      <b/>
      <sz val="14"/>
      <color theme="1"/>
      <name val="Arial"/>
      <family val="2"/>
    </font>
    <font>
      <sz val="12"/>
      <color theme="1"/>
      <name val="Arial"/>
      <family val="2"/>
    </font>
    <font>
      <i/>
      <sz val="12"/>
      <color theme="1"/>
      <name val="Arial"/>
      <family val="2"/>
    </font>
    <font>
      <sz val="12"/>
      <color rgb="FF0000FF"/>
      <name val="Arial"/>
      <family val="2"/>
    </font>
    <font>
      <b/>
      <sz val="11.5"/>
      <color theme="1"/>
      <name val="Arial"/>
      <family val="2"/>
    </font>
    <font>
      <b/>
      <sz val="11.5"/>
      <name val="Arial"/>
      <family val="2"/>
    </font>
    <font>
      <sz val="12"/>
      <color rgb="FFFF0000"/>
      <name val="Arial"/>
      <family val="2"/>
    </font>
    <font>
      <sz val="11.5"/>
      <color theme="1"/>
      <name val="Arial"/>
      <family val="2"/>
    </font>
    <font>
      <i/>
      <sz val="12"/>
      <name val="Arial"/>
      <family val="2"/>
    </font>
    <font>
      <b/>
      <sz val="12"/>
      <color rgb="FF0000FF"/>
      <name val="Arial"/>
      <family val="2"/>
    </font>
    <font>
      <sz val="11"/>
      <color indexed="8"/>
      <name val="Calibri"/>
      <family val="2"/>
    </font>
    <font>
      <sz val="9"/>
      <color theme="1"/>
      <name val="Arial"/>
      <family val="2"/>
    </font>
    <font>
      <b/>
      <sz val="8"/>
      <color indexed="8"/>
      <name val="Arial"/>
      <family val="2"/>
    </font>
    <font>
      <b/>
      <sz val="8"/>
      <name val="Arial"/>
      <family val="2"/>
    </font>
    <font>
      <sz val="16"/>
      <color rgb="FF0000FF"/>
      <name val="Arial"/>
      <family val="2"/>
    </font>
    <font>
      <sz val="16"/>
      <name val="Arial"/>
      <family val="2"/>
    </font>
    <font>
      <sz val="10"/>
      <name val="Humanst521 BT"/>
      <family val="2"/>
    </font>
    <font>
      <b/>
      <sz val="12"/>
      <name val="Humanst521 BT"/>
      <family val="2"/>
    </font>
    <font>
      <b/>
      <sz val="10"/>
      <name val="Humanst521 BT"/>
      <family val="2"/>
    </font>
    <font>
      <b/>
      <sz val="11"/>
      <name val="Humanst521 BT"/>
      <family val="2"/>
    </font>
    <font>
      <b/>
      <i/>
      <sz val="11"/>
      <name val="Humanst521 BT"/>
      <family val="2"/>
    </font>
    <font>
      <i/>
      <sz val="11"/>
      <name val="Humanst521 BT"/>
      <family val="2"/>
    </font>
    <font>
      <b/>
      <sz val="10"/>
      <name val="Humanst521 BT"/>
    </font>
    <font>
      <b/>
      <sz val="10"/>
      <color rgb="FFFF0000"/>
      <name val="Humanst521 BT"/>
      <family val="2"/>
    </font>
    <font>
      <sz val="11"/>
      <name val="Humanst521 BT"/>
      <family val="2"/>
    </font>
    <font>
      <b/>
      <sz val="9"/>
      <name val="Humanst521 BT"/>
    </font>
    <font>
      <b/>
      <sz val="9"/>
      <name val="Humanst521 BT"/>
      <family val="2"/>
    </font>
    <font>
      <sz val="9"/>
      <name val="Humanst521 BT"/>
      <family val="2"/>
    </font>
    <font>
      <sz val="9"/>
      <name val="Humanst521 BT"/>
    </font>
    <font>
      <b/>
      <i/>
      <sz val="10"/>
      <name val="Humanst521 BT"/>
      <family val="2"/>
    </font>
    <font>
      <sz val="7"/>
      <name val="Humanst521 BT"/>
      <family val="2"/>
    </font>
    <font>
      <b/>
      <sz val="11"/>
      <color theme="1"/>
      <name val="Calibri"/>
      <family val="2"/>
      <scheme val="minor"/>
    </font>
    <font>
      <b/>
      <sz val="20"/>
      <color theme="1"/>
      <name val="Calibri"/>
      <family val="2"/>
      <scheme val="minor"/>
    </font>
    <font>
      <b/>
      <sz val="10"/>
      <color theme="1"/>
      <name val="Calibri"/>
      <family val="2"/>
      <scheme val="minor"/>
    </font>
    <font>
      <sz val="12"/>
      <color rgb="FF0000FF"/>
      <name val="Calibri"/>
      <family val="2"/>
      <scheme val="minor"/>
    </font>
    <font>
      <sz val="11"/>
      <color rgb="FFFF0000"/>
      <name val="Calibri"/>
      <family val="2"/>
      <scheme val="minor"/>
    </font>
    <font>
      <sz val="10"/>
      <color rgb="FF0A15E8"/>
      <name val="Arial"/>
      <family val="2"/>
    </font>
    <font>
      <sz val="14"/>
      <color theme="1"/>
      <name val="Arial"/>
      <family val="2"/>
    </font>
    <font>
      <sz val="14"/>
      <name val="Arial"/>
      <family val="2"/>
    </font>
    <font>
      <sz val="14"/>
      <color rgb="FF0000FF"/>
      <name val="Arial"/>
      <family val="2"/>
    </font>
    <font>
      <sz val="11"/>
      <color rgb="FF000000"/>
      <name val="Calibri"/>
      <family val="2"/>
    </font>
    <font>
      <sz val="11"/>
      <color rgb="FF1F497D"/>
      <name val="Times New Roman"/>
      <family val="1"/>
    </font>
    <font>
      <i/>
      <sz val="8"/>
      <color rgb="FFFF0000"/>
      <name val="Humanst521 BT"/>
    </font>
    <font>
      <sz val="12"/>
      <name val="Calibri"/>
      <family val="2"/>
      <scheme val="minor"/>
    </font>
    <font>
      <sz val="8"/>
      <color rgb="FFFF0000"/>
      <name val="Humanst521 BT"/>
      <family val="2"/>
    </font>
    <font>
      <sz val="8"/>
      <color rgb="FFFF0000"/>
      <name val="Calibri"/>
      <family val="2"/>
      <scheme val="minor"/>
    </font>
    <font>
      <b/>
      <sz val="10"/>
      <name val="Arial Narrow"/>
      <family val="2"/>
    </font>
    <font>
      <sz val="9"/>
      <color theme="1"/>
      <name val="Calibri"/>
      <family val="2"/>
      <scheme val="minor"/>
    </font>
    <font>
      <sz val="9"/>
      <name val="Calibri"/>
      <family val="2"/>
      <scheme val="minor"/>
    </font>
    <font>
      <sz val="8"/>
      <name val="Calibri"/>
      <family val="2"/>
      <scheme val="minor"/>
    </font>
    <font>
      <sz val="16"/>
      <color theme="1"/>
      <name val="Arial"/>
      <family val="2"/>
    </font>
    <font>
      <sz val="11"/>
      <color rgb="FF0070C0"/>
      <name val="Calibri"/>
      <family val="2"/>
      <scheme val="minor"/>
    </font>
    <font>
      <sz val="14"/>
      <color rgb="FFFF0000"/>
      <name val="Arial"/>
      <family val="2"/>
    </font>
    <font>
      <b/>
      <sz val="16"/>
      <name val="Arial"/>
      <family val="2"/>
    </font>
    <font>
      <sz val="12"/>
      <color theme="4" tint="-0.249977111117893"/>
      <name val="Arial"/>
      <family val="2"/>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FFC000"/>
        <bgColor indexed="64"/>
      </patternFill>
    </fill>
  </fills>
  <borders count="1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auto="1"/>
      </left>
      <right style="thin">
        <color auto="1"/>
      </right>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style="thin">
        <color indexed="55"/>
      </left>
      <right/>
      <top/>
      <bottom/>
      <diagonal/>
    </border>
    <border>
      <left style="thin">
        <color indexed="55"/>
      </left>
      <right style="thin">
        <color indexed="55"/>
      </right>
      <top/>
      <bottom/>
      <diagonal/>
    </border>
    <border>
      <left/>
      <right style="thin">
        <color indexed="55"/>
      </right>
      <top/>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auto="1"/>
      </left>
      <right style="medium">
        <color auto="1"/>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style="medium">
        <color indexed="64"/>
      </right>
      <top/>
      <bottom/>
      <diagonal/>
    </border>
    <border>
      <left/>
      <right style="thick">
        <color auto="1"/>
      </right>
      <top style="medium">
        <color indexed="64"/>
      </top>
      <bottom/>
      <diagonal/>
    </border>
    <border>
      <left/>
      <right style="thick">
        <color auto="1"/>
      </right>
      <top/>
      <bottom/>
      <diagonal/>
    </border>
    <border>
      <left style="thick">
        <color auto="1"/>
      </left>
      <right style="medium">
        <color indexed="64"/>
      </right>
      <top/>
      <bottom style="thick">
        <color auto="1"/>
      </bottom>
      <diagonal/>
    </border>
    <border>
      <left style="medium">
        <color indexed="64"/>
      </left>
      <right/>
      <top/>
      <bottom style="thick">
        <color auto="1"/>
      </bottom>
      <diagonal/>
    </border>
    <border>
      <left/>
      <right/>
      <top/>
      <bottom style="thick">
        <color auto="1"/>
      </bottom>
      <diagonal/>
    </border>
    <border>
      <left/>
      <right style="medium">
        <color indexed="64"/>
      </right>
      <top/>
      <bottom style="thick">
        <color auto="1"/>
      </bottom>
      <diagonal/>
    </border>
    <border>
      <left/>
      <right style="thick">
        <color auto="1"/>
      </right>
      <top/>
      <bottom style="thick">
        <color auto="1"/>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top style="thick">
        <color auto="1"/>
      </top>
      <bottom style="medium">
        <color indexed="64"/>
      </bottom>
      <diagonal/>
    </border>
    <border>
      <left/>
      <right/>
      <top style="thick">
        <color auto="1"/>
      </top>
      <bottom style="medium">
        <color indexed="64"/>
      </bottom>
      <diagonal/>
    </border>
    <border>
      <left/>
      <right/>
      <top/>
      <bottom/>
      <diagonal style="thin">
        <color indexed="0"/>
      </diagonal>
    </border>
    <border>
      <left/>
      <right style="thin">
        <color auto="1"/>
      </right>
      <top/>
      <bottom/>
      <diagonal/>
    </border>
    <border>
      <left style="thin">
        <color auto="1"/>
      </left>
      <right style="thin">
        <color auto="1"/>
      </right>
      <top/>
      <bottom/>
      <diagonal/>
    </border>
    <border>
      <left style="thin">
        <color indexed="64"/>
      </left>
      <right/>
      <top/>
      <bottom/>
      <diagonal/>
    </border>
    <border>
      <left style="thin">
        <color auto="1"/>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auto="1"/>
      </left>
      <right style="dashDotDot">
        <color auto="1"/>
      </right>
      <top style="thin">
        <color auto="1"/>
      </top>
      <bottom style="hair">
        <color auto="1"/>
      </bottom>
      <diagonal/>
    </border>
    <border>
      <left style="dashDotDot">
        <color auto="1"/>
      </left>
      <right style="thin">
        <color auto="1"/>
      </right>
      <top style="thin">
        <color auto="1"/>
      </top>
      <bottom style="hair">
        <color auto="1"/>
      </bottom>
      <diagonal/>
    </border>
    <border>
      <left style="thin">
        <color auto="1"/>
      </left>
      <right style="dashDotDot">
        <color auto="1"/>
      </right>
      <top style="hair">
        <color auto="1"/>
      </top>
      <bottom style="hair">
        <color auto="1"/>
      </bottom>
      <diagonal/>
    </border>
    <border>
      <left style="dashDotDot">
        <color auto="1"/>
      </left>
      <right style="thin">
        <color auto="1"/>
      </right>
      <top style="hair">
        <color auto="1"/>
      </top>
      <bottom style="hair">
        <color auto="1"/>
      </bottom>
      <diagonal/>
    </border>
    <border>
      <left style="thin">
        <color auto="1"/>
      </left>
      <right style="dashDotDot">
        <color auto="1"/>
      </right>
      <top style="hair">
        <color auto="1"/>
      </top>
      <bottom style="thin">
        <color auto="1"/>
      </bottom>
      <diagonal/>
    </border>
    <border>
      <left style="dashDotDot">
        <color auto="1"/>
      </left>
      <right style="thin">
        <color auto="1"/>
      </right>
      <top style="hair">
        <color auto="1"/>
      </top>
      <bottom style="thin">
        <color auto="1"/>
      </bottom>
      <diagonal/>
    </border>
    <border>
      <left style="thin">
        <color indexed="64"/>
      </left>
      <right style="medium">
        <color indexed="64"/>
      </right>
      <top style="hair">
        <color indexed="64"/>
      </top>
      <bottom style="hair">
        <color indexed="64"/>
      </bottom>
      <diagonal/>
    </border>
    <border>
      <left/>
      <right style="hair">
        <color indexed="64"/>
      </right>
      <top style="hair">
        <color indexed="64"/>
      </top>
      <bottom style="thin">
        <color indexed="64"/>
      </bottom>
      <diagonal/>
    </border>
    <border>
      <left style="medium">
        <color auto="1"/>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hair">
        <color rgb="FF000000"/>
      </top>
      <bottom style="hair">
        <color rgb="FF000000"/>
      </bottom>
      <diagonal/>
    </border>
    <border>
      <left style="thin">
        <color indexed="64"/>
      </left>
      <right style="thin">
        <color indexed="64"/>
      </right>
      <top/>
      <bottom style="thin">
        <color rgb="FF000000"/>
      </bottom>
      <diagonal/>
    </border>
    <border>
      <left style="thin">
        <color indexed="64"/>
      </left>
      <right style="thin">
        <color indexed="64"/>
      </right>
      <top style="hair">
        <color rgb="FF000000"/>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ck">
        <color auto="1"/>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thick">
        <color auto="1"/>
      </bottom>
      <diagonal/>
    </border>
    <border>
      <left style="thin">
        <color indexed="64"/>
      </left>
      <right style="medium">
        <color auto="1"/>
      </right>
      <top style="thick">
        <color auto="1"/>
      </top>
      <bottom/>
      <diagonal/>
    </border>
    <border>
      <left style="thin">
        <color indexed="64"/>
      </left>
      <right style="medium">
        <color indexed="64"/>
      </right>
      <top/>
      <bottom style="thick">
        <color auto="1"/>
      </bottom>
      <diagonal/>
    </border>
    <border>
      <left style="thin">
        <color indexed="64"/>
      </left>
      <right style="medium">
        <color indexed="64"/>
      </right>
      <top/>
      <bottom style="thin">
        <color indexed="64"/>
      </bottom>
      <diagonal/>
    </border>
  </borders>
  <cellStyleXfs count="38">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7" fillId="0" borderId="0"/>
    <xf numFmtId="0" fontId="1" fillId="0" borderId="0"/>
    <xf numFmtId="0" fontId="2" fillId="0" borderId="0"/>
    <xf numFmtId="0" fontId="2" fillId="0" borderId="0"/>
    <xf numFmtId="168" fontId="2"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43" fontId="48" fillId="0" borderId="0" applyFont="0" applyFill="0" applyBorder="0" applyAlignment="0" applyProtection="0"/>
    <xf numFmtId="44" fontId="48" fillId="0" borderId="0" applyFont="0" applyFill="0" applyBorder="0" applyAlignment="0" applyProtection="0"/>
    <xf numFmtId="44" fontId="1" fillId="0" borderId="0" applyFont="0" applyFill="0" applyBorder="0" applyAlignment="0" applyProtection="0"/>
    <xf numFmtId="9" fontId="48" fillId="0" borderId="0" applyFont="0" applyFill="0" applyBorder="0" applyAlignment="0" applyProtection="0"/>
    <xf numFmtId="0" fontId="2" fillId="0" borderId="82"/>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2" fillId="0" borderId="82"/>
    <xf numFmtId="9" fontId="28" fillId="0" borderId="0" applyFont="0" applyFill="0" applyBorder="0" applyAlignment="0" applyProtection="0">
      <alignment vertical="center"/>
    </xf>
    <xf numFmtId="0" fontId="1" fillId="0" borderId="0"/>
    <xf numFmtId="0" fontId="78" fillId="0" borderId="0"/>
    <xf numFmtId="44"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alignment vertical="center"/>
    </xf>
    <xf numFmtId="0" fontId="78" fillId="0" borderId="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cellStyleXfs>
  <cellXfs count="2910">
    <xf numFmtId="0" fontId="0" fillId="0" borderId="0" xfId="0"/>
    <xf numFmtId="2" fontId="2" fillId="0" borderId="1" xfId="3" applyNumberFormat="1" applyBorder="1" applyAlignment="1">
      <alignment wrapText="1"/>
    </xf>
    <xf numFmtId="0" fontId="3" fillId="2" borderId="1" xfId="3" applyFont="1" applyFill="1" applyBorder="1" applyAlignment="1">
      <alignment horizontal="center" vertical="center" wrapText="1"/>
    </xf>
    <xf numFmtId="0" fontId="4" fillId="2" borderId="2" xfId="3" applyFont="1" applyFill="1" applyBorder="1" applyAlignment="1">
      <alignment wrapText="1"/>
    </xf>
    <xf numFmtId="0" fontId="3" fillId="2" borderId="2" xfId="3" applyFont="1" applyFill="1" applyBorder="1" applyAlignment="1">
      <alignment horizontal="center" wrapText="1"/>
    </xf>
    <xf numFmtId="0" fontId="4" fillId="2" borderId="3" xfId="3" applyFont="1" applyFill="1" applyBorder="1" applyAlignment="1">
      <alignment horizontal="center" wrapText="1"/>
    </xf>
    <xf numFmtId="0" fontId="5" fillId="2" borderId="0" xfId="3" applyFont="1" applyFill="1" applyAlignment="1">
      <alignment horizontal="center" vertical="center" wrapText="1"/>
    </xf>
    <xf numFmtId="0" fontId="2" fillId="0" borderId="0" xfId="3" applyAlignment="1">
      <alignment wrapText="1"/>
    </xf>
    <xf numFmtId="2" fontId="2" fillId="0" borderId="4" xfId="3" applyNumberFormat="1" applyBorder="1" applyAlignment="1">
      <alignment wrapText="1"/>
    </xf>
    <xf numFmtId="0" fontId="1" fillId="2" borderId="0" xfId="0" applyFont="1" applyFill="1" applyAlignment="1">
      <alignment horizontal="center" vertical="center" wrapText="1"/>
    </xf>
    <xf numFmtId="0" fontId="9" fillId="2" borderId="0" xfId="3" applyFont="1" applyFill="1" applyAlignment="1">
      <alignment vertical="center" wrapText="1"/>
    </xf>
    <xf numFmtId="0" fontId="8" fillId="3" borderId="6" xfId="3" applyFont="1" applyFill="1" applyBorder="1" applyAlignment="1">
      <alignment vertical="center" wrapText="1"/>
    </xf>
    <xf numFmtId="0" fontId="5" fillId="2" borderId="7" xfId="3" applyFont="1" applyFill="1" applyBorder="1" applyAlignment="1">
      <alignment horizontal="center" vertical="center" wrapText="1"/>
    </xf>
    <xf numFmtId="2" fontId="2" fillId="0" borderId="6" xfId="3" applyNumberFormat="1" applyBorder="1" applyAlignment="1">
      <alignment wrapText="1"/>
    </xf>
    <xf numFmtId="0" fontId="11" fillId="0" borderId="0" xfId="3" applyFont="1" applyAlignment="1">
      <alignment wrapText="1"/>
    </xf>
    <xf numFmtId="2" fontId="12" fillId="5" borderId="1" xfId="0" applyNumberFormat="1" applyFont="1" applyFill="1" applyBorder="1" applyAlignment="1">
      <alignment wrapText="1"/>
    </xf>
    <xf numFmtId="2" fontId="14" fillId="2" borderId="0" xfId="0" applyNumberFormat="1" applyFont="1" applyFill="1" applyAlignment="1">
      <alignment horizontal="center" vertical="center" wrapText="1"/>
    </xf>
    <xf numFmtId="0" fontId="14" fillId="2" borderId="7" xfId="0" applyFont="1" applyFill="1" applyBorder="1" applyAlignment="1">
      <alignment horizontal="center" vertical="center" wrapText="1"/>
    </xf>
    <xf numFmtId="0" fontId="15" fillId="5" borderId="0" xfId="0" applyFont="1" applyFill="1" applyAlignment="1">
      <alignment wrapText="1"/>
    </xf>
    <xf numFmtId="1" fontId="2" fillId="0" borderId="14" xfId="5" applyNumberFormat="1" applyFont="1" applyBorder="1" applyAlignment="1">
      <alignment horizontal="center" vertical="center" wrapText="1"/>
    </xf>
    <xf numFmtId="1" fontId="2" fillId="0" borderId="15" xfId="5" applyNumberFormat="1" applyFont="1" applyBorder="1" applyAlignment="1">
      <alignment horizontal="left" vertical="center" wrapText="1"/>
    </xf>
    <xf numFmtId="165" fontId="2" fillId="0" borderId="15" xfId="5" applyNumberFormat="1" applyFont="1" applyBorder="1" applyAlignment="1">
      <alignment horizontal="right" vertical="center" wrapText="1"/>
    </xf>
    <xf numFmtId="1" fontId="2" fillId="0" borderId="16" xfId="5" applyNumberFormat="1" applyFont="1" applyBorder="1" applyAlignment="1">
      <alignment horizontal="center" vertical="center" wrapText="1"/>
    </xf>
    <xf numFmtId="0" fontId="15" fillId="3" borderId="0" xfId="0" applyFont="1" applyFill="1" applyAlignment="1">
      <alignment wrapText="1"/>
    </xf>
    <xf numFmtId="2" fontId="15" fillId="3" borderId="0" xfId="0" applyNumberFormat="1" applyFont="1" applyFill="1" applyAlignment="1">
      <alignment wrapText="1"/>
    </xf>
    <xf numFmtId="0" fontId="15" fillId="4" borderId="0" xfId="0" applyFont="1" applyFill="1" applyAlignment="1">
      <alignment wrapText="1"/>
    </xf>
    <xf numFmtId="0" fontId="17" fillId="2" borderId="0" xfId="3" applyFont="1" applyFill="1" applyAlignment="1" applyProtection="1">
      <alignment horizontal="center" wrapText="1"/>
      <protection locked="0"/>
    </xf>
    <xf numFmtId="0" fontId="15" fillId="3" borderId="0" xfId="0" applyFont="1" applyFill="1" applyAlignment="1">
      <alignment horizontal="center" wrapText="1"/>
    </xf>
    <xf numFmtId="0" fontId="14" fillId="2" borderId="0" xfId="0" applyFont="1" applyFill="1" applyAlignment="1">
      <alignment horizontal="center" vertical="center" wrapText="1"/>
    </xf>
    <xf numFmtId="0" fontId="15" fillId="6" borderId="0" xfId="0" applyFont="1" applyFill="1" applyAlignment="1">
      <alignment wrapText="1"/>
    </xf>
    <xf numFmtId="2" fontId="18" fillId="0" borderId="0" xfId="0" applyNumberFormat="1" applyFont="1" applyAlignment="1">
      <alignment horizontal="center" vertical="center"/>
    </xf>
    <xf numFmtId="0" fontId="18" fillId="0" borderId="0" xfId="0" applyFont="1"/>
    <xf numFmtId="4" fontId="19" fillId="0" borderId="0" xfId="0" applyNumberFormat="1" applyFont="1" applyAlignment="1">
      <alignment horizontal="right"/>
    </xf>
    <xf numFmtId="43" fontId="19" fillId="0" borderId="0" xfId="1" applyFont="1"/>
    <xf numFmtId="165" fontId="2" fillId="0" borderId="0" xfId="0" applyNumberFormat="1" applyFont="1"/>
    <xf numFmtId="43" fontId="18" fillId="0" borderId="0" xfId="1" applyFont="1"/>
    <xf numFmtId="165" fontId="18" fillId="0" borderId="0" xfId="0" applyNumberFormat="1" applyFont="1"/>
    <xf numFmtId="4" fontId="18" fillId="0" borderId="0" xfId="0" applyNumberFormat="1" applyFont="1"/>
    <xf numFmtId="4" fontId="20" fillId="0" borderId="0" xfId="0" applyNumberFormat="1" applyFont="1" applyAlignment="1">
      <alignment horizontal="center" vertical="center"/>
    </xf>
    <xf numFmtId="0" fontId="20" fillId="0" borderId="0" xfId="3" applyFont="1"/>
    <xf numFmtId="0" fontId="2" fillId="0" borderId="0" xfId="3"/>
    <xf numFmtId="0" fontId="21" fillId="2" borderId="0" xfId="4" applyFont="1" applyFill="1" applyAlignment="1">
      <alignment vertical="center"/>
    </xf>
    <xf numFmtId="2" fontId="2" fillId="0" borderId="6" xfId="3" applyNumberFormat="1" applyBorder="1"/>
    <xf numFmtId="0" fontId="13" fillId="2" borderId="19" xfId="4" applyFont="1" applyFill="1" applyBorder="1" applyAlignment="1">
      <alignment horizontal="left" vertical="center"/>
    </xf>
    <xf numFmtId="0" fontId="13" fillId="2" borderId="18" xfId="4" applyFont="1" applyFill="1" applyBorder="1" applyAlignment="1">
      <alignment horizontal="left" vertical="center"/>
    </xf>
    <xf numFmtId="43" fontId="2" fillId="2" borderId="19" xfId="1" applyFont="1" applyFill="1" applyBorder="1"/>
    <xf numFmtId="43" fontId="13" fillId="2" borderId="18" xfId="1" applyFont="1" applyFill="1" applyBorder="1" applyAlignment="1">
      <alignment horizontal="left" vertical="center"/>
    </xf>
    <xf numFmtId="0" fontId="2" fillId="0" borderId="19" xfId="3" applyBorder="1"/>
    <xf numFmtId="0" fontId="20" fillId="4" borderId="0" xfId="0" applyFont="1" applyFill="1" applyAlignment="1">
      <alignment vertical="center"/>
    </xf>
    <xf numFmtId="2" fontId="17" fillId="4" borderId="7" xfId="0" applyNumberFormat="1" applyFont="1" applyFill="1" applyBorder="1" applyAlignment="1">
      <alignment horizontal="center" vertical="center"/>
    </xf>
    <xf numFmtId="0" fontId="17" fillId="4" borderId="7" xfId="6" applyFont="1" applyFill="1" applyBorder="1" applyAlignment="1" applyProtection="1">
      <alignment horizontal="center" vertical="center"/>
      <protection locked="0"/>
    </xf>
    <xf numFmtId="4" fontId="17" fillId="4" borderId="7" xfId="6" applyNumberFormat="1" applyFont="1" applyFill="1" applyBorder="1" applyAlignment="1" applyProtection="1">
      <alignment horizontal="center" vertical="center"/>
      <protection locked="0"/>
    </xf>
    <xf numFmtId="43" fontId="17" fillId="4" borderId="7" xfId="1" applyFont="1" applyFill="1" applyBorder="1" applyAlignment="1" applyProtection="1">
      <alignment horizontal="center" vertical="center"/>
      <protection locked="0"/>
    </xf>
    <xf numFmtId="0" fontId="20" fillId="4" borderId="0" xfId="0" applyFont="1" applyFill="1"/>
    <xf numFmtId="0" fontId="20" fillId="5" borderId="0" xfId="0" applyFont="1" applyFill="1"/>
    <xf numFmtId="0" fontId="0" fillId="5" borderId="0" xfId="0" applyFill="1"/>
    <xf numFmtId="4" fontId="2" fillId="0" borderId="21" xfId="8" applyNumberFormat="1" applyBorder="1" applyAlignment="1">
      <alignment horizontal="right" vertical="center" wrapText="1"/>
    </xf>
    <xf numFmtId="43" fontId="2" fillId="0" borderId="20" xfId="1" applyFont="1" applyFill="1" applyBorder="1" applyAlignment="1">
      <alignment horizontal="center" vertical="center" wrapText="1"/>
    </xf>
    <xf numFmtId="0" fontId="5" fillId="0" borderId="23" xfId="0" applyFont="1" applyBorder="1" applyAlignment="1">
      <alignment horizontal="center" vertical="center"/>
    </xf>
    <xf numFmtId="0" fontId="5" fillId="0" borderId="23" xfId="7" applyFont="1" applyBorder="1" applyAlignment="1">
      <alignment horizontal="justify" vertical="center" wrapText="1"/>
    </xf>
    <xf numFmtId="4" fontId="2" fillId="0" borderId="23" xfId="8" applyNumberFormat="1" applyBorder="1" applyAlignment="1">
      <alignment horizontal="right" vertical="center" wrapText="1"/>
    </xf>
    <xf numFmtId="4" fontId="2" fillId="0" borderId="26" xfId="8" applyNumberFormat="1" applyBorder="1" applyAlignment="1">
      <alignment horizontal="right" vertical="center" wrapText="1"/>
    </xf>
    <xf numFmtId="2" fontId="18" fillId="0" borderId="20" xfId="0" applyNumberFormat="1" applyFont="1" applyBorder="1" applyAlignment="1">
      <alignment horizontal="center" vertical="center"/>
    </xf>
    <xf numFmtId="1" fontId="18" fillId="0" borderId="20" xfId="9" applyNumberFormat="1" applyFont="1" applyBorder="1" applyAlignment="1">
      <alignment horizontal="center" vertical="center"/>
    </xf>
    <xf numFmtId="0" fontId="5" fillId="0" borderId="20" xfId="7" applyFont="1" applyBorder="1" applyAlignment="1">
      <alignment horizontal="justify" vertical="center" wrapText="1"/>
    </xf>
    <xf numFmtId="0" fontId="2" fillId="0" borderId="20" xfId="10" applyFont="1" applyBorder="1" applyAlignment="1">
      <alignment horizontal="center" vertical="center"/>
    </xf>
    <xf numFmtId="2" fontId="18" fillId="0" borderId="23" xfId="0" applyNumberFormat="1" applyFont="1" applyBorder="1" applyAlignment="1">
      <alignment horizontal="center" vertical="center"/>
    </xf>
    <xf numFmtId="1" fontId="18" fillId="0" borderId="23" xfId="9" applyNumberFormat="1" applyFont="1" applyBorder="1" applyAlignment="1">
      <alignment horizontal="center" vertical="center"/>
    </xf>
    <xf numFmtId="0" fontId="2" fillId="0" borderId="23" xfId="10" applyFont="1" applyBorder="1" applyAlignment="1">
      <alignment horizontal="center" vertical="center"/>
    </xf>
    <xf numFmtId="2" fontId="18" fillId="5" borderId="7" xfId="0" applyNumberFormat="1" applyFont="1" applyFill="1" applyBorder="1" applyAlignment="1">
      <alignment horizontal="center" vertical="center"/>
    </xf>
    <xf numFmtId="1" fontId="18" fillId="5" borderId="7" xfId="11" applyNumberFormat="1" applyFont="1" applyFill="1" applyBorder="1" applyAlignment="1">
      <alignment horizontal="center" vertical="center"/>
    </xf>
    <xf numFmtId="168" fontId="2" fillId="0" borderId="23" xfId="8" applyBorder="1" applyAlignment="1">
      <alignment horizontal="center" vertical="center" wrapText="1"/>
    </xf>
    <xf numFmtId="4" fontId="2" fillId="0" borderId="20" xfId="8" applyNumberFormat="1" applyFill="1" applyBorder="1" applyAlignment="1">
      <alignment horizontal="right" vertical="center" wrapText="1"/>
    </xf>
    <xf numFmtId="2" fontId="18" fillId="0" borderId="26" xfId="0" applyNumberFormat="1" applyFont="1" applyBorder="1" applyAlignment="1">
      <alignment horizontal="center" vertical="center"/>
    </xf>
    <xf numFmtId="1" fontId="18" fillId="0" borderId="26" xfId="9" applyNumberFormat="1" applyFont="1" applyBorder="1" applyAlignment="1">
      <alignment horizontal="center" vertical="center"/>
    </xf>
    <xf numFmtId="0" fontId="2" fillId="0" borderId="26" xfId="10" applyFont="1" applyBorder="1" applyAlignment="1">
      <alignment horizontal="center" vertical="center"/>
    </xf>
    <xf numFmtId="168" fontId="2" fillId="0" borderId="26" xfId="8" applyBorder="1" applyAlignment="1">
      <alignment horizontal="center" vertical="center" wrapText="1"/>
    </xf>
    <xf numFmtId="4" fontId="2" fillId="0" borderId="26" xfId="8" applyNumberFormat="1" applyFill="1" applyBorder="1" applyAlignment="1">
      <alignment horizontal="right" vertical="center" wrapText="1"/>
    </xf>
    <xf numFmtId="43" fontId="2" fillId="0" borderId="26" xfId="1" applyFont="1" applyFill="1" applyBorder="1" applyAlignment="1">
      <alignment horizontal="center" vertical="center" wrapText="1"/>
    </xf>
    <xf numFmtId="43" fontId="2" fillId="0" borderId="26" xfId="1" applyFont="1" applyBorder="1" applyAlignment="1">
      <alignment horizontal="center" vertical="center" wrapText="1"/>
    </xf>
    <xf numFmtId="43" fontId="2" fillId="0" borderId="23" xfId="1" applyFont="1" applyBorder="1" applyAlignment="1">
      <alignment horizontal="center" vertical="center" wrapText="1"/>
    </xf>
    <xf numFmtId="0" fontId="2" fillId="0" borderId="33" xfId="10" applyFont="1" applyBorder="1" applyAlignment="1">
      <alignment horizontal="center" vertical="center"/>
    </xf>
    <xf numFmtId="168" fontId="2" fillId="0" borderId="33" xfId="8" applyBorder="1" applyAlignment="1">
      <alignment horizontal="center" vertical="center" wrapText="1"/>
    </xf>
    <xf numFmtId="4" fontId="2" fillId="0" borderId="33" xfId="8" applyNumberFormat="1" applyBorder="1" applyAlignment="1">
      <alignment horizontal="right" vertical="center" wrapText="1"/>
    </xf>
    <xf numFmtId="2" fontId="18" fillId="0" borderId="33" xfId="0" applyNumberFormat="1" applyFont="1" applyBorder="1" applyAlignment="1">
      <alignment horizontal="center" vertical="center"/>
    </xf>
    <xf numFmtId="1" fontId="18" fillId="0" borderId="33" xfId="9" applyNumberFormat="1" applyFont="1" applyBorder="1" applyAlignment="1">
      <alignment horizontal="center" vertical="center"/>
    </xf>
    <xf numFmtId="0" fontId="5" fillId="0" borderId="33" xfId="7" applyFont="1" applyBorder="1" applyAlignment="1">
      <alignment horizontal="justify" vertical="center" wrapText="1"/>
    </xf>
    <xf numFmtId="0" fontId="0" fillId="4" borderId="0" xfId="0" applyFill="1"/>
    <xf numFmtId="0" fontId="2" fillId="0" borderId="23" xfId="0" applyFont="1" applyBorder="1" applyAlignment="1">
      <alignment horizontal="center" vertical="center"/>
    </xf>
    <xf numFmtId="0" fontId="30" fillId="0" borderId="23" xfId="0" applyFont="1" applyBorder="1" applyAlignment="1">
      <alignment horizontal="center" vertical="center" wrapText="1"/>
    </xf>
    <xf numFmtId="0" fontId="5" fillId="0" borderId="26" xfId="7" applyFont="1" applyBorder="1" applyAlignment="1">
      <alignment horizontal="justify" vertical="center" wrapText="1"/>
    </xf>
    <xf numFmtId="0" fontId="5" fillId="2" borderId="33" xfId="7" applyFont="1" applyFill="1" applyBorder="1" applyAlignment="1">
      <alignment horizontal="justify" vertical="center" wrapText="1"/>
    </xf>
    <xf numFmtId="0" fontId="5" fillId="2" borderId="23" xfId="7" applyFont="1" applyFill="1" applyBorder="1" applyAlignment="1">
      <alignment horizontal="justify" vertical="center" wrapText="1"/>
    </xf>
    <xf numFmtId="0" fontId="5" fillId="0" borderId="26" xfId="0" applyFont="1" applyBorder="1" applyAlignment="1">
      <alignment horizontal="center" vertical="center"/>
    </xf>
    <xf numFmtId="0" fontId="5" fillId="2" borderId="26" xfId="7" applyFont="1" applyFill="1" applyBorder="1" applyAlignment="1">
      <alignment horizontal="justify" vertical="center" wrapText="1"/>
    </xf>
    <xf numFmtId="4" fontId="5" fillId="0" borderId="23" xfId="0" applyNumberFormat="1" applyFont="1" applyBorder="1" applyAlignment="1">
      <alignment horizontal="right" vertical="center"/>
    </xf>
    <xf numFmtId="4" fontId="2" fillId="0" borderId="23" xfId="0" applyNumberFormat="1" applyFont="1" applyBorder="1" applyAlignment="1">
      <alignment horizontal="right" vertical="center"/>
    </xf>
    <xf numFmtId="4" fontId="5" fillId="0" borderId="33" xfId="0" applyNumberFormat="1" applyFont="1" applyBorder="1" applyAlignment="1">
      <alignment horizontal="right" vertical="center"/>
    </xf>
    <xf numFmtId="4" fontId="20" fillId="8" borderId="0" xfId="0" applyNumberFormat="1" applyFont="1" applyFill="1" applyAlignment="1">
      <alignment horizontal="center" vertical="center"/>
    </xf>
    <xf numFmtId="2" fontId="21" fillId="0" borderId="0" xfId="10" applyNumberFormat="1" applyFont="1" applyAlignment="1">
      <alignment horizontal="center" vertical="center" wrapText="1"/>
    </xf>
    <xf numFmtId="0" fontId="31" fillId="0" borderId="0" xfId="10" applyFont="1" applyAlignment="1">
      <alignment horizontal="center" vertical="center" wrapText="1"/>
    </xf>
    <xf numFmtId="4" fontId="32" fillId="0" borderId="0" xfId="10" applyNumberFormat="1" applyFont="1" applyAlignment="1">
      <alignment horizontal="right" vertical="center" wrapText="1"/>
    </xf>
    <xf numFmtId="43" fontId="33" fillId="0" borderId="0" xfId="1" applyFont="1" applyAlignment="1" applyProtection="1">
      <alignment horizontal="center" vertical="center"/>
      <protection locked="0"/>
    </xf>
    <xf numFmtId="165" fontId="31" fillId="0" borderId="0" xfId="10" applyNumberFormat="1" applyFont="1" applyAlignment="1">
      <alignment vertical="center" wrapText="1"/>
    </xf>
    <xf numFmtId="43" fontId="17" fillId="0" borderId="0" xfId="1" applyFont="1" applyAlignment="1" applyProtection="1">
      <alignment horizontal="center" vertical="center"/>
    </xf>
    <xf numFmtId="4" fontId="17" fillId="0" borderId="0" xfId="6" applyNumberFormat="1" applyFont="1" applyAlignment="1" applyProtection="1">
      <alignment horizontal="center" vertical="center"/>
      <protection locked="0"/>
    </xf>
    <xf numFmtId="170" fontId="20" fillId="0" borderId="0" xfId="1" applyNumberFormat="1" applyFont="1" applyAlignment="1">
      <alignment horizontal="center" vertical="center"/>
    </xf>
    <xf numFmtId="0" fontId="34" fillId="0" borderId="0" xfId="10" applyFont="1" applyAlignment="1">
      <alignment horizontal="right" vertical="center" wrapText="1"/>
    </xf>
    <xf numFmtId="43" fontId="19" fillId="0" borderId="0" xfId="1" applyFont="1" applyBorder="1" applyAlignment="1" applyProtection="1">
      <alignment horizontal="center" vertical="center"/>
      <protection locked="0"/>
    </xf>
    <xf numFmtId="43" fontId="17" fillId="7" borderId="0" xfId="1" applyFont="1" applyFill="1" applyBorder="1" applyAlignment="1" applyProtection="1">
      <alignment horizontal="center" vertical="center"/>
    </xf>
    <xf numFmtId="43" fontId="17" fillId="0" borderId="0" xfId="1" applyFont="1" applyAlignment="1" applyProtection="1">
      <alignment horizontal="center" vertical="center"/>
      <protection locked="0"/>
    </xf>
    <xf numFmtId="0" fontId="18" fillId="0" borderId="0" xfId="0" applyFont="1" applyAlignment="1">
      <alignment horizontal="right" vertical="center"/>
    </xf>
    <xf numFmtId="0" fontId="18" fillId="0" borderId="0" xfId="0" applyFont="1" applyAlignment="1">
      <alignment horizontal="center" vertical="center"/>
    </xf>
    <xf numFmtId="0" fontId="0" fillId="6" borderId="0" xfId="0" applyFill="1"/>
    <xf numFmtId="0" fontId="35" fillId="0" borderId="0" xfId="0" applyFont="1"/>
    <xf numFmtId="2" fontId="24" fillId="0" borderId="0" xfId="0" applyNumberFormat="1" applyFont="1"/>
    <xf numFmtId="4" fontId="0" fillId="0" borderId="0" xfId="0" applyNumberFormat="1" applyAlignment="1">
      <alignment horizontal="right"/>
    </xf>
    <xf numFmtId="0" fontId="5" fillId="0" borderId="0" xfId="3" applyFont="1" applyAlignment="1">
      <alignment horizontal="center" vertical="center"/>
    </xf>
    <xf numFmtId="0" fontId="5" fillId="0" borderId="0" xfId="3" applyFont="1"/>
    <xf numFmtId="0" fontId="37" fillId="2" borderId="17" xfId="3" applyFont="1" applyFill="1" applyBorder="1" applyAlignment="1">
      <alignment horizontal="left" vertical="center"/>
    </xf>
    <xf numFmtId="0" fontId="37" fillId="2" borderId="1" xfId="4" applyFont="1" applyFill="1" applyBorder="1" applyAlignment="1">
      <alignment vertical="center"/>
    </xf>
    <xf numFmtId="0" fontId="37" fillId="2" borderId="2" xfId="4" applyFont="1" applyFill="1" applyBorder="1" applyAlignment="1">
      <alignment vertical="center"/>
    </xf>
    <xf numFmtId="0" fontId="24" fillId="2" borderId="2" xfId="4" applyFont="1" applyFill="1" applyBorder="1" applyAlignment="1">
      <alignment vertical="center"/>
    </xf>
    <xf numFmtId="0" fontId="24" fillId="2" borderId="2" xfId="3" applyFont="1" applyFill="1" applyBorder="1" applyAlignment="1">
      <alignment vertical="center"/>
    </xf>
    <xf numFmtId="0" fontId="5" fillId="0" borderId="5" xfId="3" applyFont="1" applyBorder="1"/>
    <xf numFmtId="0" fontId="37" fillId="0" borderId="0" xfId="3" applyFont="1"/>
    <xf numFmtId="0" fontId="24" fillId="0" borderId="0" xfId="3" applyFont="1"/>
    <xf numFmtId="0" fontId="24" fillId="0" borderId="2" xfId="3" applyFont="1" applyBorder="1" applyAlignment="1">
      <alignment horizontal="left"/>
    </xf>
    <xf numFmtId="0" fontId="5" fillId="0" borderId="2" xfId="3" applyFont="1" applyBorder="1"/>
    <xf numFmtId="0" fontId="5" fillId="0" borderId="5" xfId="3" applyFont="1" applyBorder="1" applyAlignment="1">
      <alignment horizontal="center"/>
    </xf>
    <xf numFmtId="0" fontId="2" fillId="2" borderId="0" xfId="3" applyFill="1" applyAlignment="1">
      <alignment vertical="center"/>
    </xf>
    <xf numFmtId="0" fontId="22" fillId="2" borderId="0" xfId="3" applyFont="1" applyFill="1" applyAlignment="1">
      <alignment vertical="center"/>
    </xf>
    <xf numFmtId="0" fontId="37" fillId="2" borderId="17" xfId="4" applyFont="1" applyFill="1" applyBorder="1" applyAlignment="1">
      <alignment horizontal="left" vertical="center"/>
    </xf>
    <xf numFmtId="0" fontId="37" fillId="2" borderId="4" xfId="4" applyFont="1" applyFill="1" applyBorder="1" applyAlignment="1">
      <alignment vertical="center"/>
    </xf>
    <xf numFmtId="0" fontId="37" fillId="2" borderId="0" xfId="4" applyFont="1" applyFill="1" applyAlignment="1">
      <alignment vertical="center"/>
    </xf>
    <xf numFmtId="0" fontId="24" fillId="2" borderId="0" xfId="4" applyFont="1" applyFill="1" applyAlignment="1">
      <alignment vertical="center"/>
    </xf>
    <xf numFmtId="0" fontId="24" fillId="2" borderId="0" xfId="3" applyFont="1" applyFill="1" applyAlignment="1">
      <alignment vertical="center"/>
    </xf>
    <xf numFmtId="49" fontId="24" fillId="2" borderId="0" xfId="3" applyNumberFormat="1" applyFont="1" applyFill="1" applyAlignment="1">
      <alignment horizontal="left" vertical="center"/>
    </xf>
    <xf numFmtId="0" fontId="13" fillId="2" borderId="0" xfId="4" applyFont="1" applyFill="1" applyAlignment="1">
      <alignment vertical="center"/>
    </xf>
    <xf numFmtId="14" fontId="24" fillId="2" borderId="0" xfId="4" applyNumberFormat="1" applyFont="1" applyFill="1" applyAlignment="1">
      <alignment vertical="center"/>
    </xf>
    <xf numFmtId="0" fontId="37" fillId="0" borderId="4" xfId="4" applyFont="1" applyBorder="1" applyAlignment="1">
      <alignment vertical="center"/>
    </xf>
    <xf numFmtId="0" fontId="37" fillId="0" borderId="0" xfId="4" applyFont="1" applyAlignment="1">
      <alignment vertical="center"/>
    </xf>
    <xf numFmtId="14" fontId="24" fillId="0" borderId="0" xfId="4" applyNumberFormat="1" applyFont="1" applyAlignment="1">
      <alignment vertical="center"/>
    </xf>
    <xf numFmtId="14" fontId="24" fillId="0" borderId="0" xfId="4" applyNumberFormat="1" applyFont="1" applyAlignment="1">
      <alignment horizontal="left" vertical="center"/>
    </xf>
    <xf numFmtId="0" fontId="5" fillId="0" borderId="34" xfId="3" applyFont="1" applyBorder="1"/>
    <xf numFmtId="0" fontId="16" fillId="2" borderId="18" xfId="4" applyFont="1" applyFill="1" applyBorder="1" applyAlignment="1">
      <alignment horizontal="left" vertical="center"/>
    </xf>
    <xf numFmtId="0" fontId="5" fillId="2" borderId="18" xfId="3" applyFont="1" applyFill="1" applyBorder="1" applyAlignment="1">
      <alignment horizontal="center" vertical="center"/>
    </xf>
    <xf numFmtId="0" fontId="16" fillId="2" borderId="6" xfId="4" applyFont="1" applyFill="1" applyBorder="1" applyAlignment="1">
      <alignment horizontal="center" vertical="center"/>
    </xf>
    <xf numFmtId="0" fontId="16" fillId="2" borderId="18" xfId="4" applyFont="1" applyFill="1" applyBorder="1" applyAlignment="1">
      <alignment vertical="center"/>
    </xf>
    <xf numFmtId="0" fontId="5" fillId="2" borderId="18" xfId="3" applyFont="1" applyFill="1" applyBorder="1"/>
    <xf numFmtId="4" fontId="5" fillId="2" borderId="18" xfId="3" applyNumberFormat="1" applyFont="1" applyFill="1" applyBorder="1"/>
    <xf numFmtId="4" fontId="16" fillId="2" borderId="18" xfId="4" applyNumberFormat="1" applyFont="1" applyFill="1" applyBorder="1" applyAlignment="1">
      <alignment vertical="center"/>
    </xf>
    <xf numFmtId="0" fontId="37" fillId="2" borderId="18" xfId="4" applyFont="1" applyFill="1" applyBorder="1" applyAlignment="1">
      <alignment vertical="center"/>
    </xf>
    <xf numFmtId="0" fontId="5" fillId="0" borderId="19" xfId="3" applyFont="1" applyBorder="1"/>
    <xf numFmtId="0" fontId="5" fillId="0" borderId="18" xfId="3" applyFont="1" applyBorder="1"/>
    <xf numFmtId="0" fontId="5" fillId="0" borderId="19" xfId="3" applyFont="1" applyBorder="1" applyAlignment="1">
      <alignment horizontal="center"/>
    </xf>
    <xf numFmtId="0" fontId="38" fillId="0" borderId="0" xfId="4" applyFont="1" applyAlignment="1">
      <alignment vertical="center"/>
    </xf>
    <xf numFmtId="0" fontId="36" fillId="7" borderId="8" xfId="0" applyFont="1" applyFill="1" applyBorder="1" applyAlignment="1">
      <alignment horizontal="center" vertical="center"/>
    </xf>
    <xf numFmtId="0" fontId="36" fillId="7" borderId="9" xfId="0" applyFont="1" applyFill="1" applyBorder="1" applyAlignment="1">
      <alignment vertical="center"/>
    </xf>
    <xf numFmtId="0" fontId="36" fillId="7" borderId="9" xfId="0" applyFont="1" applyFill="1" applyBorder="1" applyAlignment="1">
      <alignment horizontal="center" vertical="center"/>
    </xf>
    <xf numFmtId="1" fontId="40" fillId="7" borderId="9" xfId="0" applyNumberFormat="1" applyFont="1" applyFill="1" applyBorder="1" applyAlignment="1">
      <alignment horizontal="right" vertical="center"/>
    </xf>
    <xf numFmtId="165" fontId="40" fillId="7" borderId="9" xfId="0" applyNumberFormat="1" applyFont="1" applyFill="1" applyBorder="1" applyAlignment="1">
      <alignment horizontal="right" vertical="center"/>
    </xf>
    <xf numFmtId="0" fontId="39" fillId="7" borderId="10" xfId="0" applyFont="1" applyFill="1" applyBorder="1" applyAlignment="1">
      <alignment horizontal="center" vertical="center"/>
    </xf>
    <xf numFmtId="165" fontId="24" fillId="4" borderId="0" xfId="0" applyNumberFormat="1" applyFont="1" applyFill="1" applyAlignment="1">
      <alignment vertical="center"/>
    </xf>
    <xf numFmtId="0" fontId="24" fillId="2" borderId="0" xfId="0" applyFont="1" applyFill="1" applyAlignment="1">
      <alignment vertical="center"/>
    </xf>
    <xf numFmtId="0" fontId="22" fillId="2" borderId="0" xfId="0" applyFont="1" applyFill="1" applyAlignment="1">
      <alignment vertical="center"/>
    </xf>
    <xf numFmtId="0" fontId="36" fillId="4" borderId="8" xfId="0" applyFont="1" applyFill="1" applyBorder="1" applyAlignment="1">
      <alignment horizontal="center" vertical="center"/>
    </xf>
    <xf numFmtId="0" fontId="36" fillId="4" borderId="9" xfId="0" applyFont="1" applyFill="1" applyBorder="1" applyAlignment="1">
      <alignment vertical="center"/>
    </xf>
    <xf numFmtId="0" fontId="36" fillId="4" borderId="9" xfId="0" applyFont="1" applyFill="1" applyBorder="1" applyAlignment="1">
      <alignment horizontal="center" vertical="center"/>
    </xf>
    <xf numFmtId="1" fontId="39" fillId="4" borderId="9" xfId="0" applyNumberFormat="1" applyFont="1" applyFill="1" applyBorder="1" applyAlignment="1">
      <alignment vertical="center"/>
    </xf>
    <xf numFmtId="0" fontId="39" fillId="4" borderId="9" xfId="0" applyFont="1" applyFill="1" applyBorder="1" applyAlignment="1">
      <alignment vertical="center"/>
    </xf>
    <xf numFmtId="1" fontId="40" fillId="4" borderId="9" xfId="0" applyNumberFormat="1" applyFont="1" applyFill="1" applyBorder="1" applyAlignment="1">
      <alignment horizontal="right" vertical="center"/>
    </xf>
    <xf numFmtId="165" fontId="40" fillId="4" borderId="9" xfId="0" applyNumberFormat="1" applyFont="1" applyFill="1" applyBorder="1" applyAlignment="1">
      <alignment horizontal="right" vertical="center"/>
    </xf>
    <xf numFmtId="0" fontId="36" fillId="2" borderId="31" xfId="3" applyFont="1" applyFill="1" applyBorder="1" applyAlignment="1">
      <alignment horizontal="center" wrapText="1"/>
    </xf>
    <xf numFmtId="165" fontId="5" fillId="2" borderId="0" xfId="3" applyNumberFormat="1" applyFont="1" applyFill="1" applyAlignment="1">
      <alignment horizontal="right"/>
    </xf>
    <xf numFmtId="0" fontId="2" fillId="2" borderId="0" xfId="3" applyFill="1"/>
    <xf numFmtId="0" fontId="2" fillId="6" borderId="0" xfId="3" applyFill="1"/>
    <xf numFmtId="0" fontId="36" fillId="2" borderId="34" xfId="3" applyFont="1" applyFill="1" applyBorder="1" applyAlignment="1">
      <alignment horizontal="center" vertical="top" wrapText="1"/>
    </xf>
    <xf numFmtId="1" fontId="36" fillId="2" borderId="21" xfId="3" applyNumberFormat="1" applyFont="1" applyFill="1" applyBorder="1" applyAlignment="1">
      <alignment horizontal="center" vertical="center" wrapText="1"/>
    </xf>
    <xf numFmtId="1" fontId="4" fillId="0" borderId="17" xfId="3" applyNumberFormat="1" applyFont="1" applyBorder="1" applyAlignment="1">
      <alignment horizontal="left" vertical="center" wrapText="1"/>
    </xf>
    <xf numFmtId="0" fontId="41" fillId="2" borderId="1" xfId="3" applyFont="1" applyFill="1" applyBorder="1" applyAlignment="1">
      <alignment horizontal="center" vertical="center" wrapText="1"/>
    </xf>
    <xf numFmtId="0" fontId="41" fillId="2" borderId="2" xfId="3" applyFont="1" applyFill="1" applyBorder="1" applyAlignment="1">
      <alignment horizontal="center" vertical="center" wrapText="1"/>
    </xf>
    <xf numFmtId="0" fontId="41" fillId="2" borderId="3" xfId="3" applyFont="1" applyFill="1" applyBorder="1" applyAlignment="1">
      <alignment horizontal="center" vertical="center" wrapText="1"/>
    </xf>
    <xf numFmtId="0" fontId="41" fillId="2" borderId="1" xfId="3" applyFont="1" applyFill="1" applyBorder="1" applyAlignment="1">
      <alignment horizontal="center" vertical="distributed" wrapText="1"/>
    </xf>
    <xf numFmtId="0" fontId="41" fillId="2" borderId="2" xfId="3" applyFont="1" applyFill="1" applyBorder="1" applyAlignment="1">
      <alignment horizontal="center" vertical="distributed" wrapText="1"/>
    </xf>
    <xf numFmtId="0" fontId="41" fillId="2" borderId="3" xfId="3" applyFont="1" applyFill="1" applyBorder="1" applyAlignment="1">
      <alignment horizontal="center" vertical="distributed" wrapText="1"/>
    </xf>
    <xf numFmtId="0" fontId="41" fillId="2" borderId="17" xfId="3" applyFont="1" applyFill="1" applyBorder="1" applyAlignment="1">
      <alignment horizontal="center" vertical="center" wrapText="1"/>
    </xf>
    <xf numFmtId="0" fontId="41" fillId="2" borderId="4" xfId="3" applyFont="1" applyFill="1" applyBorder="1" applyAlignment="1">
      <alignment horizontal="center" vertical="center" wrapText="1"/>
    </xf>
    <xf numFmtId="0" fontId="41" fillId="2" borderId="5" xfId="3" applyFont="1" applyFill="1" applyBorder="1" applyAlignment="1">
      <alignment horizontal="center" vertical="center" wrapText="1"/>
    </xf>
    <xf numFmtId="0" fontId="41" fillId="2" borderId="0" xfId="3" applyFont="1" applyFill="1" applyAlignment="1">
      <alignment horizontal="center" vertical="center" wrapText="1"/>
    </xf>
    <xf numFmtId="0" fontId="41" fillId="2" borderId="17" xfId="3" applyFont="1" applyFill="1" applyBorder="1" applyAlignment="1">
      <alignment horizontal="center" vertical="top" wrapText="1"/>
    </xf>
    <xf numFmtId="165" fontId="4" fillId="2" borderId="21" xfId="3" applyNumberFormat="1" applyFont="1" applyFill="1" applyBorder="1" applyAlignment="1">
      <alignment horizontal="right" vertical="center" wrapText="1"/>
    </xf>
    <xf numFmtId="0" fontId="4" fillId="2" borderId="17" xfId="3" applyFont="1" applyFill="1" applyBorder="1" applyAlignment="1">
      <alignment horizontal="center" vertical="center" wrapText="1"/>
    </xf>
    <xf numFmtId="171" fontId="4" fillId="2" borderId="17" xfId="3" applyNumberFormat="1" applyFont="1" applyFill="1" applyBorder="1" applyAlignment="1">
      <alignment horizontal="center" vertical="center" wrapText="1"/>
    </xf>
    <xf numFmtId="0" fontId="36" fillId="2" borderId="17" xfId="3" applyFont="1" applyFill="1" applyBorder="1" applyAlignment="1">
      <alignment horizontal="center" vertical="distributed" wrapText="1"/>
    </xf>
    <xf numFmtId="1" fontId="36" fillId="2" borderId="23" xfId="3" applyNumberFormat="1" applyFont="1" applyFill="1" applyBorder="1" applyAlignment="1">
      <alignment horizontal="center" vertical="center" wrapText="1"/>
    </xf>
    <xf numFmtId="1" fontId="39" fillId="0" borderId="23" xfId="3" applyNumberFormat="1" applyFont="1" applyBorder="1" applyAlignment="1">
      <alignment horizontal="left" vertical="center" wrapText="1"/>
    </xf>
    <xf numFmtId="0" fontId="39" fillId="2" borderId="14" xfId="3" applyFont="1" applyFill="1" applyBorder="1" applyAlignment="1">
      <alignment horizontal="center" vertical="center" wrapText="1"/>
    </xf>
    <xf numFmtId="0" fontId="39" fillId="2" borderId="15" xfId="3" applyFont="1" applyFill="1" applyBorder="1" applyAlignment="1">
      <alignment horizontal="center" vertical="center" wrapText="1"/>
    </xf>
    <xf numFmtId="0" fontId="39" fillId="2" borderId="16" xfId="3" applyFont="1" applyFill="1" applyBorder="1" applyAlignment="1">
      <alignment horizontal="center" vertical="center" wrapText="1"/>
    </xf>
    <xf numFmtId="0" fontId="39" fillId="2" borderId="15" xfId="3" applyFont="1" applyFill="1" applyBorder="1" applyAlignment="1">
      <alignment horizontal="center" vertical="distributed" wrapText="1"/>
    </xf>
    <xf numFmtId="0" fontId="39" fillId="2" borderId="23" xfId="3" applyFont="1" applyFill="1" applyBorder="1" applyAlignment="1">
      <alignment horizontal="center" vertical="center" wrapText="1"/>
    </xf>
    <xf numFmtId="0" fontId="39" fillId="2" borderId="23" xfId="3" applyFont="1" applyFill="1" applyBorder="1" applyAlignment="1">
      <alignment horizontal="center" vertical="top" wrapText="1"/>
    </xf>
    <xf numFmtId="165" fontId="39" fillId="2" borderId="17" xfId="3" applyNumberFormat="1" applyFont="1" applyFill="1" applyBorder="1" applyAlignment="1">
      <alignment horizontal="right" vertical="center" wrapText="1"/>
    </xf>
    <xf numFmtId="171" fontId="39" fillId="2" borderId="23" xfId="3" applyNumberFormat="1" applyFont="1" applyFill="1" applyBorder="1" applyAlignment="1">
      <alignment horizontal="center" vertical="center" wrapText="1"/>
    </xf>
    <xf numFmtId="0" fontId="36" fillId="2" borderId="23" xfId="3" applyFont="1" applyFill="1" applyBorder="1" applyAlignment="1">
      <alignment horizontal="center" vertical="distributed" wrapText="1"/>
    </xf>
    <xf numFmtId="49" fontId="39" fillId="2" borderId="23" xfId="12" applyNumberFormat="1" applyFont="1" applyFill="1" applyBorder="1" applyAlignment="1">
      <alignment horizontal="center" vertical="center" wrapText="1"/>
    </xf>
    <xf numFmtId="0" fontId="24" fillId="0" borderId="17" xfId="13" applyFont="1" applyBorder="1" applyAlignment="1">
      <alignment horizontal="justify" vertical="center" wrapText="1"/>
    </xf>
    <xf numFmtId="1" fontId="39" fillId="2" borderId="35" xfId="3" applyNumberFormat="1" applyFont="1" applyFill="1" applyBorder="1" applyAlignment="1">
      <alignment horizontal="right" vertical="center" wrapText="1"/>
    </xf>
    <xf numFmtId="1" fontId="39" fillId="2" borderId="36" xfId="3" applyNumberFormat="1" applyFont="1" applyFill="1" applyBorder="1" applyAlignment="1">
      <alignment horizontal="center" vertical="center" wrapText="1"/>
    </xf>
    <xf numFmtId="2" fontId="39" fillId="2" borderId="28" xfId="3" applyNumberFormat="1" applyFont="1" applyFill="1" applyBorder="1" applyAlignment="1">
      <alignment horizontal="left" vertical="center" wrapText="1"/>
    </xf>
    <xf numFmtId="0" fontId="39" fillId="2" borderId="20" xfId="3" applyFont="1" applyFill="1" applyBorder="1" applyAlignment="1">
      <alignment horizontal="center" vertical="center" wrapText="1"/>
    </xf>
    <xf numFmtId="43" fontId="39" fillId="2" borderId="35" xfId="1" applyFont="1" applyFill="1" applyBorder="1" applyAlignment="1">
      <alignment horizontal="center" vertical="center" wrapText="1"/>
    </xf>
    <xf numFmtId="43" fontId="39" fillId="2" borderId="20" xfId="1" applyFont="1" applyFill="1" applyBorder="1" applyAlignment="1">
      <alignment horizontal="center" vertical="center" wrapText="1"/>
    </xf>
    <xf numFmtId="43" fontId="39" fillId="2" borderId="28" xfId="1" applyFont="1" applyFill="1" applyBorder="1" applyAlignment="1">
      <alignment horizontal="center" vertical="center" wrapText="1"/>
    </xf>
    <xf numFmtId="43" fontId="39" fillId="2" borderId="36" xfId="1" applyFont="1" applyFill="1" applyBorder="1" applyAlignment="1">
      <alignment horizontal="center" vertical="center" wrapText="1"/>
    </xf>
    <xf numFmtId="43" fontId="39" fillId="2" borderId="35" xfId="1" applyFont="1" applyFill="1" applyBorder="1" applyAlignment="1">
      <alignment horizontal="center" vertical="distributed" wrapText="1"/>
    </xf>
    <xf numFmtId="43" fontId="39" fillId="2" borderId="28" xfId="1" applyFont="1" applyFill="1" applyBorder="1" applyAlignment="1">
      <alignment horizontal="center" vertical="distributed" wrapText="1"/>
    </xf>
    <xf numFmtId="172" fontId="39" fillId="2" borderId="23" xfId="1" applyNumberFormat="1" applyFont="1" applyFill="1" applyBorder="1" applyAlignment="1">
      <alignment horizontal="right" vertical="distributed" wrapText="1"/>
    </xf>
    <xf numFmtId="43" fontId="39" fillId="2" borderId="17" xfId="1" applyFont="1" applyFill="1" applyBorder="1" applyAlignment="1">
      <alignment horizontal="center" vertical="distributed" wrapText="1"/>
    </xf>
    <xf numFmtId="171" fontId="39" fillId="2" borderId="20" xfId="3" applyNumberFormat="1" applyFont="1" applyFill="1" applyBorder="1" applyAlignment="1">
      <alignment horizontal="center" vertical="center" wrapText="1"/>
    </xf>
    <xf numFmtId="0" fontId="39" fillId="2" borderId="20" xfId="3" applyFont="1" applyFill="1" applyBorder="1" applyAlignment="1">
      <alignment horizontal="center" vertical="distributed" wrapText="1"/>
    </xf>
    <xf numFmtId="0" fontId="5" fillId="2" borderId="0" xfId="3" applyFont="1" applyFill="1"/>
    <xf numFmtId="49" fontId="39" fillId="2" borderId="26" xfId="12" applyNumberFormat="1" applyFont="1" applyFill="1" applyBorder="1" applyAlignment="1">
      <alignment horizontal="center" vertical="center" wrapText="1"/>
    </xf>
    <xf numFmtId="0" fontId="39" fillId="2" borderId="26" xfId="12" applyFont="1" applyFill="1" applyBorder="1" applyAlignment="1">
      <alignment horizontal="left" vertical="center" wrapText="1"/>
    </xf>
    <xf numFmtId="1" fontId="39" fillId="2" borderId="37" xfId="3" applyNumberFormat="1" applyFont="1" applyFill="1" applyBorder="1" applyAlignment="1">
      <alignment horizontal="right" vertical="center" wrapText="1"/>
    </xf>
    <xf numFmtId="1" fontId="39" fillId="2" borderId="38" xfId="3" applyNumberFormat="1" applyFont="1" applyFill="1" applyBorder="1" applyAlignment="1">
      <alignment horizontal="center" vertical="center" wrapText="1"/>
    </xf>
    <xf numFmtId="2" fontId="39" fillId="2" borderId="39" xfId="3" applyNumberFormat="1" applyFont="1" applyFill="1" applyBorder="1" applyAlignment="1">
      <alignment horizontal="left" vertical="center" wrapText="1"/>
    </xf>
    <xf numFmtId="0" fontId="39" fillId="2" borderId="26" xfId="3" applyFont="1" applyFill="1" applyBorder="1" applyAlignment="1">
      <alignment horizontal="center" vertical="center" wrapText="1"/>
    </xf>
    <xf numFmtId="43" fontId="39" fillId="2" borderId="37" xfId="1" applyFont="1" applyFill="1" applyBorder="1" applyAlignment="1">
      <alignment horizontal="center" vertical="center" wrapText="1"/>
    </xf>
    <xf numFmtId="43" fontId="39" fillId="2" borderId="26" xfId="1" applyFont="1" applyFill="1" applyBorder="1" applyAlignment="1">
      <alignment horizontal="center" vertical="center" wrapText="1"/>
    </xf>
    <xf numFmtId="43" fontId="39" fillId="2" borderId="39" xfId="1" applyFont="1" applyFill="1" applyBorder="1" applyAlignment="1">
      <alignment horizontal="center" vertical="center" wrapText="1"/>
    </xf>
    <xf numFmtId="43" fontId="39" fillId="2" borderId="38" xfId="1" applyFont="1" applyFill="1" applyBorder="1" applyAlignment="1">
      <alignment horizontal="center" vertical="center" wrapText="1"/>
    </xf>
    <xf numFmtId="43" fontId="39" fillId="2" borderId="37" xfId="1" applyFont="1" applyFill="1" applyBorder="1" applyAlignment="1">
      <alignment horizontal="center" vertical="distributed" wrapText="1"/>
    </xf>
    <xf numFmtId="43" fontId="39" fillId="2" borderId="39" xfId="1" applyFont="1" applyFill="1" applyBorder="1" applyAlignment="1">
      <alignment horizontal="center" vertical="distributed" wrapText="1"/>
    </xf>
    <xf numFmtId="172" fontId="39" fillId="2" borderId="26" xfId="1" applyNumberFormat="1" applyFont="1" applyFill="1" applyBorder="1" applyAlignment="1">
      <alignment horizontal="right" vertical="distributed" wrapText="1"/>
    </xf>
    <xf numFmtId="43" fontId="39" fillId="2" borderId="26" xfId="1" applyFont="1" applyFill="1" applyBorder="1" applyAlignment="1">
      <alignment horizontal="center" vertical="distributed" wrapText="1"/>
    </xf>
    <xf numFmtId="173" fontId="39" fillId="2" borderId="26" xfId="3" applyNumberFormat="1" applyFont="1" applyFill="1" applyBorder="1" applyAlignment="1">
      <alignment horizontal="center" vertical="center" wrapText="1"/>
    </xf>
    <xf numFmtId="0" fontId="39" fillId="2" borderId="26" xfId="3" applyFont="1" applyFill="1" applyBorder="1" applyAlignment="1">
      <alignment horizontal="center" vertical="distributed" wrapText="1"/>
    </xf>
    <xf numFmtId="1" fontId="36" fillId="2" borderId="31" xfId="0" applyNumberFormat="1" applyFont="1" applyFill="1" applyBorder="1" applyAlignment="1">
      <alignment vertical="center" wrapText="1"/>
    </xf>
    <xf numFmtId="0" fontId="36" fillId="2" borderId="0" xfId="0" applyFont="1" applyFill="1" applyAlignment="1">
      <alignment vertical="center" wrapText="1"/>
    </xf>
    <xf numFmtId="2" fontId="42" fillId="5" borderId="19" xfId="3" applyNumberFormat="1" applyFont="1" applyFill="1" applyBorder="1" applyAlignment="1">
      <alignment horizontal="center" vertical="distributed" wrapText="1"/>
    </xf>
    <xf numFmtId="165" fontId="42" fillId="5" borderId="34" xfId="1" applyNumberFormat="1" applyFont="1" applyFill="1" applyBorder="1" applyAlignment="1">
      <alignment horizontal="center" vertical="center" wrapText="1"/>
    </xf>
    <xf numFmtId="165" fontId="42" fillId="5" borderId="19" xfId="3" applyNumberFormat="1" applyFont="1" applyFill="1" applyBorder="1" applyAlignment="1">
      <alignment horizontal="center" vertical="center" wrapText="1"/>
    </xf>
    <xf numFmtId="0" fontId="39" fillId="0" borderId="0" xfId="3" applyFont="1" applyAlignment="1">
      <alignment wrapText="1"/>
    </xf>
    <xf numFmtId="0" fontId="39" fillId="0" borderId="5" xfId="3" applyFont="1" applyBorder="1" applyAlignment="1">
      <alignment horizontal="center" wrapText="1"/>
    </xf>
    <xf numFmtId="1" fontId="36" fillId="2" borderId="17" xfId="0" applyNumberFormat="1" applyFont="1" applyFill="1" applyBorder="1" applyAlignment="1">
      <alignment vertical="center" wrapText="1"/>
    </xf>
    <xf numFmtId="0" fontId="36" fillId="2" borderId="5" xfId="0" applyFont="1" applyFill="1" applyBorder="1" applyAlignment="1">
      <alignment vertical="center" wrapText="1"/>
    </xf>
    <xf numFmtId="165" fontId="42" fillId="5" borderId="7" xfId="1" applyNumberFormat="1" applyFont="1" applyFill="1" applyBorder="1" applyAlignment="1">
      <alignment horizontal="center" vertical="center" wrapText="1"/>
    </xf>
    <xf numFmtId="165" fontId="42" fillId="5" borderId="7" xfId="3" applyNumberFormat="1" applyFont="1" applyFill="1" applyBorder="1" applyAlignment="1">
      <alignment horizontal="center" vertical="center" wrapText="1"/>
    </xf>
    <xf numFmtId="1" fontId="36" fillId="2" borderId="34" xfId="0" applyNumberFormat="1" applyFont="1" applyFill="1" applyBorder="1" applyAlignment="1">
      <alignment vertical="center" wrapText="1"/>
    </xf>
    <xf numFmtId="165" fontId="42" fillId="5" borderId="31" xfId="1" applyNumberFormat="1" applyFont="1" applyFill="1" applyBorder="1" applyAlignment="1">
      <alignment horizontal="center" vertical="center" wrapText="1"/>
    </xf>
    <xf numFmtId="165" fontId="42" fillId="5" borderId="31" xfId="3" applyNumberFormat="1" applyFont="1" applyFill="1" applyBorder="1" applyAlignment="1">
      <alignment horizontal="center" vertical="center" wrapText="1"/>
    </xf>
    <xf numFmtId="1" fontId="36" fillId="0" borderId="6" xfId="0" applyNumberFormat="1" applyFont="1" applyBorder="1" applyAlignment="1">
      <alignment vertical="center" wrapText="1"/>
    </xf>
    <xf numFmtId="0" fontId="36" fillId="0" borderId="9" xfId="0" applyFont="1" applyBorder="1" applyAlignment="1">
      <alignment vertical="center" wrapText="1"/>
    </xf>
    <xf numFmtId="0" fontId="42" fillId="0" borderId="9" xfId="0" applyFont="1" applyBorder="1" applyAlignment="1">
      <alignment horizontal="right" vertical="center" wrapText="1"/>
    </xf>
    <xf numFmtId="0" fontId="42" fillId="0" borderId="9" xfId="0" applyFont="1" applyBorder="1" applyAlignment="1">
      <alignment horizontal="center" vertical="center" wrapText="1"/>
    </xf>
    <xf numFmtId="10" fontId="42" fillId="0" borderId="9" xfId="3" applyNumberFormat="1" applyFont="1" applyBorder="1" applyAlignment="1">
      <alignment horizontal="right" vertical="center" wrapText="1"/>
    </xf>
    <xf numFmtId="10" fontId="42" fillId="0" borderId="9" xfId="3" applyNumberFormat="1" applyFont="1" applyBorder="1" applyAlignment="1">
      <alignment horizontal="center" vertical="center" wrapText="1"/>
    </xf>
    <xf numFmtId="174" fontId="42" fillId="0" borderId="9" xfId="3" applyNumberFormat="1" applyFont="1" applyBorder="1" applyAlignment="1">
      <alignment horizontal="center" vertical="center" wrapText="1"/>
    </xf>
    <xf numFmtId="0" fontId="42" fillId="0" borderId="9" xfId="3" applyFont="1" applyBorder="1" applyAlignment="1">
      <alignment horizontal="center" vertical="center" wrapText="1"/>
    </xf>
    <xf numFmtId="165" fontId="42" fillId="0" borderId="9" xfId="1" applyNumberFormat="1" applyFont="1" applyFill="1" applyBorder="1" applyAlignment="1">
      <alignment horizontal="center" vertical="center" wrapText="1"/>
    </xf>
    <xf numFmtId="165" fontId="42" fillId="0" borderId="9" xfId="3" applyNumberFormat="1" applyFont="1" applyBorder="1" applyAlignment="1">
      <alignment horizontal="center" vertical="center" wrapText="1"/>
    </xf>
    <xf numFmtId="0" fontId="39" fillId="0" borderId="9" xfId="3" applyFont="1" applyBorder="1" applyAlignment="1">
      <alignment wrapText="1"/>
    </xf>
    <xf numFmtId="0" fontId="39" fillId="0" borderId="10" xfId="3" applyFont="1" applyBorder="1" applyAlignment="1">
      <alignment horizontal="center" wrapText="1"/>
    </xf>
    <xf numFmtId="165" fontId="5" fillId="2" borderId="0" xfId="3" applyNumberFormat="1" applyFont="1" applyFill="1" applyAlignment="1">
      <alignment horizontal="center"/>
    </xf>
    <xf numFmtId="1" fontId="4" fillId="0" borderId="21" xfId="3" applyNumberFormat="1" applyFont="1" applyBorder="1" applyAlignment="1">
      <alignment horizontal="left" vertical="center" wrapText="1"/>
    </xf>
    <xf numFmtId="0" fontId="39" fillId="2" borderId="11" xfId="3" applyFont="1" applyFill="1" applyBorder="1" applyAlignment="1">
      <alignment horizontal="center" vertical="center" wrapText="1"/>
    </xf>
    <xf numFmtId="0" fontId="39" fillId="2" borderId="12" xfId="3" applyFont="1" applyFill="1" applyBorder="1" applyAlignment="1">
      <alignment horizontal="center" vertical="center" wrapText="1"/>
    </xf>
    <xf numFmtId="0" fontId="39" fillId="2" borderId="13" xfId="3" applyFont="1" applyFill="1" applyBorder="1" applyAlignment="1">
      <alignment horizontal="center" vertical="center" wrapText="1"/>
    </xf>
    <xf numFmtId="0" fontId="39" fillId="2" borderId="11" xfId="3" applyFont="1" applyFill="1" applyBorder="1" applyAlignment="1">
      <alignment horizontal="center" vertical="distributed" wrapText="1"/>
    </xf>
    <xf numFmtId="0" fontId="39" fillId="2" borderId="12" xfId="3" applyFont="1" applyFill="1" applyBorder="1" applyAlignment="1">
      <alignment horizontal="center" vertical="distributed" wrapText="1"/>
    </xf>
    <xf numFmtId="0" fontId="39" fillId="2" borderId="13" xfId="3" applyFont="1" applyFill="1" applyBorder="1" applyAlignment="1">
      <alignment horizontal="center" vertical="distributed" wrapText="1"/>
    </xf>
    <xf numFmtId="0" fontId="39" fillId="2" borderId="21" xfId="3" applyFont="1" applyFill="1" applyBorder="1" applyAlignment="1">
      <alignment horizontal="center" vertical="center" wrapText="1"/>
    </xf>
    <xf numFmtId="0" fontId="39" fillId="2" borderId="21" xfId="3" applyFont="1" applyFill="1" applyBorder="1" applyAlignment="1">
      <alignment horizontal="center" vertical="top" wrapText="1"/>
    </xf>
    <xf numFmtId="0" fontId="4" fillId="2" borderId="21" xfId="3" applyFont="1" applyFill="1" applyBorder="1" applyAlignment="1">
      <alignment horizontal="center" vertical="center" wrapText="1"/>
    </xf>
    <xf numFmtId="171" fontId="4" fillId="2" borderId="21" xfId="3" applyNumberFormat="1" applyFont="1" applyFill="1" applyBorder="1" applyAlignment="1">
      <alignment horizontal="center" vertical="center" wrapText="1"/>
    </xf>
    <xf numFmtId="1" fontId="39" fillId="0" borderId="17" xfId="3" applyNumberFormat="1" applyFont="1" applyBorder="1" applyAlignment="1">
      <alignment horizontal="left" vertical="center" wrapText="1"/>
    </xf>
    <xf numFmtId="0" fontId="39" fillId="2" borderId="4" xfId="3" applyFont="1" applyFill="1" applyBorder="1" applyAlignment="1">
      <alignment horizontal="center" vertical="center" wrapText="1"/>
    </xf>
    <xf numFmtId="0" fontId="39" fillId="2" borderId="0" xfId="3" applyFont="1" applyFill="1" applyAlignment="1">
      <alignment horizontal="center" vertical="center" wrapText="1"/>
    </xf>
    <xf numFmtId="0" fontId="39" fillId="2" borderId="5" xfId="3" applyFont="1" applyFill="1" applyBorder="1" applyAlignment="1">
      <alignment horizontal="center" vertical="center" wrapText="1"/>
    </xf>
    <xf numFmtId="0" fontId="39" fillId="2" borderId="32" xfId="3" applyFont="1" applyFill="1" applyBorder="1" applyAlignment="1">
      <alignment horizontal="center" vertical="distributed" wrapText="1"/>
    </xf>
    <xf numFmtId="0" fontId="39" fillId="2" borderId="40" xfId="3" applyFont="1" applyFill="1" applyBorder="1" applyAlignment="1">
      <alignment horizontal="center" vertical="distributed" wrapText="1"/>
    </xf>
    <xf numFmtId="0" fontId="39" fillId="2" borderId="30" xfId="3" applyFont="1" applyFill="1" applyBorder="1" applyAlignment="1">
      <alignment horizontal="center" vertical="distributed" wrapText="1"/>
    </xf>
    <xf numFmtId="0" fontId="39" fillId="2" borderId="17" xfId="3" applyFont="1" applyFill="1" applyBorder="1" applyAlignment="1">
      <alignment horizontal="center" vertical="center" wrapText="1"/>
    </xf>
    <xf numFmtId="0" fontId="39" fillId="2" borderId="17" xfId="3" applyFont="1" applyFill="1" applyBorder="1" applyAlignment="1">
      <alignment horizontal="center" vertical="top" wrapText="1"/>
    </xf>
    <xf numFmtId="171" fontId="39" fillId="2" borderId="17" xfId="3" applyNumberFormat="1" applyFont="1" applyFill="1" applyBorder="1" applyAlignment="1">
      <alignment horizontal="center" vertical="center" wrapText="1"/>
    </xf>
    <xf numFmtId="0" fontId="39" fillId="2" borderId="23" xfId="12" applyFont="1" applyFill="1" applyBorder="1" applyAlignment="1">
      <alignment horizontal="left" vertical="center" wrapText="1"/>
    </xf>
    <xf numFmtId="1" fontId="39" fillId="2" borderId="14" xfId="3" applyNumberFormat="1" applyFont="1" applyFill="1" applyBorder="1" applyAlignment="1">
      <alignment horizontal="right" vertical="center" wrapText="1"/>
    </xf>
    <xf numFmtId="1" fontId="39" fillId="2" borderId="15" xfId="3" applyNumberFormat="1" applyFont="1" applyFill="1" applyBorder="1" applyAlignment="1">
      <alignment horizontal="center" vertical="center" wrapText="1"/>
    </xf>
    <xf numFmtId="2" fontId="39" fillId="2" borderId="16" xfId="3" applyNumberFormat="1" applyFont="1" applyFill="1" applyBorder="1" applyAlignment="1">
      <alignment horizontal="left" vertical="center" wrapText="1"/>
    </xf>
    <xf numFmtId="43" fontId="39" fillId="2" borderId="23" xfId="1" applyFont="1" applyFill="1" applyBorder="1" applyAlignment="1">
      <alignment horizontal="center" vertical="center" wrapText="1"/>
    </xf>
    <xf numFmtId="43" fontId="39" fillId="2" borderId="23" xfId="1" applyFont="1" applyFill="1" applyBorder="1" applyAlignment="1">
      <alignment horizontal="center" vertical="distributed" wrapText="1"/>
    </xf>
    <xf numFmtId="43" fontId="39" fillId="2" borderId="14" xfId="1" applyFont="1" applyFill="1" applyBorder="1" applyAlignment="1">
      <alignment horizontal="center" vertical="distributed" wrapText="1"/>
    </xf>
    <xf numFmtId="171" fontId="39" fillId="2" borderId="26" xfId="3" applyNumberFormat="1" applyFont="1" applyFill="1" applyBorder="1" applyAlignment="1">
      <alignment horizontal="center" vertical="center" wrapText="1"/>
    </xf>
    <xf numFmtId="1" fontId="36" fillId="0" borderId="8" xfId="0" applyNumberFormat="1" applyFont="1" applyBorder="1" applyAlignment="1">
      <alignment vertical="center" wrapText="1"/>
    </xf>
    <xf numFmtId="1" fontId="3" fillId="2" borderId="23" xfId="3" applyNumberFormat="1" applyFont="1" applyFill="1" applyBorder="1" applyAlignment="1">
      <alignment horizontal="center" vertical="center" wrapText="1"/>
    </xf>
    <xf numFmtId="0" fontId="4" fillId="2" borderId="4" xfId="3" applyFont="1" applyFill="1" applyBorder="1" applyAlignment="1">
      <alignment horizontal="center" vertical="center" wrapText="1"/>
    </xf>
    <xf numFmtId="0" fontId="4" fillId="2" borderId="0" xfId="3" applyFont="1" applyFill="1" applyAlignment="1">
      <alignment horizontal="center" vertical="center" wrapText="1"/>
    </xf>
    <xf numFmtId="0" fontId="4" fillId="2" borderId="5" xfId="3" applyFont="1" applyFill="1" applyBorder="1" applyAlignment="1">
      <alignment horizontal="center" vertical="center" wrapText="1"/>
    </xf>
    <xf numFmtId="0" fontId="4" fillId="2" borderId="32" xfId="3" applyFont="1" applyFill="1" applyBorder="1" applyAlignment="1">
      <alignment horizontal="center" vertical="distributed" wrapText="1"/>
    </xf>
    <xf numFmtId="0" fontId="4" fillId="2" borderId="40" xfId="3" applyFont="1" applyFill="1" applyBorder="1" applyAlignment="1">
      <alignment horizontal="center" vertical="distributed" wrapText="1"/>
    </xf>
    <xf numFmtId="0" fontId="4" fillId="2" borderId="30" xfId="3" applyFont="1" applyFill="1" applyBorder="1" applyAlignment="1">
      <alignment horizontal="center" vertical="distributed" wrapText="1"/>
    </xf>
    <xf numFmtId="0" fontId="4" fillId="2" borderId="17" xfId="3" applyFont="1" applyFill="1" applyBorder="1" applyAlignment="1">
      <alignment horizontal="center" vertical="top" wrapText="1"/>
    </xf>
    <xf numFmtId="165" fontId="4" fillId="2" borderId="17" xfId="3" applyNumberFormat="1" applyFont="1" applyFill="1" applyBorder="1" applyAlignment="1">
      <alignment horizontal="right" vertical="center" wrapText="1"/>
    </xf>
    <xf numFmtId="0" fontId="4" fillId="2" borderId="23" xfId="3" applyFont="1" applyFill="1" applyBorder="1" applyAlignment="1">
      <alignment horizontal="left" vertical="center" wrapText="1"/>
    </xf>
    <xf numFmtId="165" fontId="2" fillId="2" borderId="0" xfId="3" applyNumberFormat="1" applyFill="1" applyAlignment="1">
      <alignment horizontal="right"/>
    </xf>
    <xf numFmtId="1" fontId="39" fillId="0" borderId="21" xfId="3" applyNumberFormat="1" applyFont="1" applyBorder="1" applyAlignment="1">
      <alignment horizontal="left" vertical="center" wrapText="1"/>
    </xf>
    <xf numFmtId="165" fontId="39" fillId="2" borderId="21" xfId="3" applyNumberFormat="1" applyFont="1" applyFill="1" applyBorder="1" applyAlignment="1">
      <alignment horizontal="right" vertical="center" wrapText="1"/>
    </xf>
    <xf numFmtId="2" fontId="42" fillId="5" borderId="10" xfId="3" applyNumberFormat="1" applyFont="1" applyFill="1" applyBorder="1" applyAlignment="1">
      <alignment horizontal="center" vertical="distributed" wrapText="1"/>
    </xf>
    <xf numFmtId="165" fontId="42" fillId="5" borderId="10" xfId="3" applyNumberFormat="1" applyFont="1" applyFill="1" applyBorder="1" applyAlignment="1">
      <alignment horizontal="center" vertical="center" wrapText="1"/>
    </xf>
    <xf numFmtId="1" fontId="36" fillId="0" borderId="1" xfId="0" applyNumberFormat="1" applyFont="1" applyBorder="1" applyAlignment="1">
      <alignment vertical="center" wrapText="1"/>
    </xf>
    <xf numFmtId="0" fontId="36" fillId="0" borderId="2" xfId="0" applyFont="1" applyBorder="1" applyAlignment="1">
      <alignment vertical="center" wrapText="1"/>
    </xf>
    <xf numFmtId="0" fontId="42" fillId="0" borderId="2" xfId="0" applyFont="1" applyBorder="1" applyAlignment="1">
      <alignment horizontal="right" vertical="center" wrapText="1"/>
    </xf>
    <xf numFmtId="0" fontId="42" fillId="0" borderId="2" xfId="0" applyFont="1" applyBorder="1" applyAlignment="1">
      <alignment horizontal="center" vertical="center" wrapText="1"/>
    </xf>
    <xf numFmtId="10" fontId="42" fillId="0" borderId="2" xfId="3" applyNumberFormat="1" applyFont="1" applyBorder="1" applyAlignment="1">
      <alignment horizontal="right" vertical="center" wrapText="1"/>
    </xf>
    <xf numFmtId="10" fontId="42" fillId="0" borderId="2" xfId="3" applyNumberFormat="1" applyFont="1" applyBorder="1" applyAlignment="1">
      <alignment horizontal="center" vertical="center" wrapText="1"/>
    </xf>
    <xf numFmtId="174" fontId="42" fillId="0" borderId="2" xfId="3" applyNumberFormat="1" applyFont="1" applyBorder="1" applyAlignment="1">
      <alignment horizontal="center" vertical="center" wrapText="1"/>
    </xf>
    <xf numFmtId="0" fontId="42" fillId="0" borderId="2" xfId="3" applyFont="1" applyBorder="1" applyAlignment="1">
      <alignment horizontal="center" vertical="center" wrapText="1"/>
    </xf>
    <xf numFmtId="165" fontId="42" fillId="0" borderId="2" xfId="1" applyNumberFormat="1" applyFont="1" applyFill="1" applyBorder="1" applyAlignment="1">
      <alignment horizontal="center" vertical="center" wrapText="1"/>
    </xf>
    <xf numFmtId="165" fontId="42" fillId="0" borderId="2" xfId="3" applyNumberFormat="1" applyFont="1" applyBorder="1" applyAlignment="1">
      <alignment horizontal="center" vertical="center" wrapText="1"/>
    </xf>
    <xf numFmtId="0" fontId="39" fillId="0" borderId="2" xfId="3" applyFont="1" applyBorder="1" applyAlignment="1">
      <alignment wrapText="1"/>
    </xf>
    <xf numFmtId="0" fontId="39" fillId="0" borderId="3" xfId="3" applyFont="1" applyBorder="1" applyAlignment="1">
      <alignment horizontal="center" wrapText="1"/>
    </xf>
    <xf numFmtId="0" fontId="24" fillId="4" borderId="9" xfId="0" applyFont="1" applyFill="1" applyBorder="1" applyAlignment="1">
      <alignment horizontal="right" vertical="center"/>
    </xf>
    <xf numFmtId="0" fontId="24" fillId="4" borderId="9" xfId="0" applyFont="1" applyFill="1" applyBorder="1" applyAlignment="1">
      <alignment vertical="center"/>
    </xf>
    <xf numFmtId="0" fontId="24" fillId="4" borderId="10" xfId="0" applyFont="1" applyFill="1" applyBorder="1" applyAlignment="1">
      <alignment horizontal="center" vertical="center"/>
    </xf>
    <xf numFmtId="0" fontId="22" fillId="4" borderId="0" xfId="0" applyFont="1" applyFill="1" applyAlignment="1">
      <alignment vertical="center"/>
    </xf>
    <xf numFmtId="0" fontId="41" fillId="2" borderId="11" xfId="3" applyFont="1" applyFill="1" applyBorder="1" applyAlignment="1">
      <alignment horizontal="center" vertical="center" wrapText="1"/>
    </xf>
    <xf numFmtId="0" fontId="41" fillId="2" borderId="12" xfId="3" applyFont="1" applyFill="1" applyBorder="1" applyAlignment="1">
      <alignment horizontal="center" vertical="center" wrapText="1"/>
    </xf>
    <xf numFmtId="0" fontId="41" fillId="2" borderId="13" xfId="3" applyFont="1" applyFill="1" applyBorder="1" applyAlignment="1">
      <alignment horizontal="center" vertical="center" wrapText="1"/>
    </xf>
    <xf numFmtId="0" fontId="41" fillId="2" borderId="11" xfId="3" applyFont="1" applyFill="1" applyBorder="1" applyAlignment="1">
      <alignment horizontal="center" vertical="distributed" wrapText="1"/>
    </xf>
    <xf numFmtId="0" fontId="41" fillId="2" borderId="12" xfId="3" applyFont="1" applyFill="1" applyBorder="1" applyAlignment="1">
      <alignment horizontal="center" vertical="distributed" wrapText="1"/>
    </xf>
    <xf numFmtId="0" fontId="41" fillId="2" borderId="13" xfId="3" applyFont="1" applyFill="1" applyBorder="1" applyAlignment="1">
      <alignment horizontal="center" vertical="distributed" wrapText="1"/>
    </xf>
    <xf numFmtId="0" fontId="41" fillId="2" borderId="21" xfId="3" applyFont="1" applyFill="1" applyBorder="1" applyAlignment="1">
      <alignment horizontal="center" vertical="center" wrapText="1"/>
    </xf>
    <xf numFmtId="0" fontId="41" fillId="2" borderId="21" xfId="3" applyFont="1" applyFill="1" applyBorder="1" applyAlignment="1">
      <alignment horizontal="center" vertical="top" wrapText="1"/>
    </xf>
    <xf numFmtId="0" fontId="3" fillId="2" borderId="17" xfId="3" applyFont="1" applyFill="1" applyBorder="1" applyAlignment="1">
      <alignment horizontal="center" vertical="distributed" wrapText="1"/>
    </xf>
    <xf numFmtId="1" fontId="3" fillId="2" borderId="21" xfId="3" applyNumberFormat="1" applyFont="1" applyFill="1" applyBorder="1" applyAlignment="1">
      <alignment horizontal="center" vertical="center" wrapText="1"/>
    </xf>
    <xf numFmtId="1" fontId="4" fillId="0" borderId="31" xfId="3" applyNumberFormat="1" applyFont="1" applyBorder="1" applyAlignment="1">
      <alignment horizontal="left" vertical="center" wrapText="1"/>
    </xf>
    <xf numFmtId="0" fontId="4" fillId="2" borderId="21" xfId="3" applyFont="1" applyFill="1" applyBorder="1" applyAlignment="1">
      <alignment horizontal="center" vertical="top" wrapText="1"/>
    </xf>
    <xf numFmtId="1" fontId="4" fillId="0" borderId="23" xfId="3" applyNumberFormat="1" applyFont="1" applyBorder="1" applyAlignment="1">
      <alignment horizontal="left" vertical="center" wrapText="1"/>
    </xf>
    <xf numFmtId="0" fontId="4" fillId="2" borderId="23" xfId="3" applyFont="1" applyFill="1" applyBorder="1" applyAlignment="1">
      <alignment horizontal="center" vertical="center" wrapText="1"/>
    </xf>
    <xf numFmtId="0" fontId="3" fillId="2" borderId="23" xfId="3" applyFont="1" applyFill="1" applyBorder="1" applyAlignment="1">
      <alignment horizontal="center" vertical="distributed" wrapText="1"/>
    </xf>
    <xf numFmtId="49" fontId="4" fillId="2" borderId="23" xfId="12" applyNumberFormat="1" applyFont="1" applyFill="1" applyBorder="1" applyAlignment="1">
      <alignment horizontal="center" vertical="center" wrapText="1"/>
    </xf>
    <xf numFmtId="1" fontId="4" fillId="0" borderId="20" xfId="3" applyNumberFormat="1" applyFont="1" applyBorder="1" applyAlignment="1">
      <alignment horizontal="left" vertical="center" wrapText="1"/>
    </xf>
    <xf numFmtId="43" fontId="4" fillId="2" borderId="23" xfId="1" applyFont="1" applyFill="1" applyBorder="1" applyAlignment="1">
      <alignment horizontal="center" vertical="center" wrapText="1"/>
    </xf>
    <xf numFmtId="43" fontId="4" fillId="2" borderId="23" xfId="1" applyFont="1" applyFill="1" applyBorder="1" applyAlignment="1">
      <alignment horizontal="center" vertical="distributed" wrapText="1"/>
    </xf>
    <xf numFmtId="172" fontId="4" fillId="2" borderId="23" xfId="1" applyNumberFormat="1" applyFont="1" applyFill="1" applyBorder="1" applyAlignment="1">
      <alignment horizontal="right" vertical="distributed" wrapText="1"/>
    </xf>
    <xf numFmtId="171" fontId="4" fillId="2" borderId="23" xfId="3" applyNumberFormat="1" applyFont="1" applyFill="1" applyBorder="1" applyAlignment="1">
      <alignment horizontal="center" vertical="center" wrapText="1"/>
    </xf>
    <xf numFmtId="49" fontId="4" fillId="2" borderId="33" xfId="12" applyNumberFormat="1" applyFont="1" applyFill="1" applyBorder="1" applyAlignment="1">
      <alignment horizontal="center" vertical="center" wrapText="1"/>
    </xf>
    <xf numFmtId="43" fontId="4" fillId="2" borderId="32" xfId="1" applyFont="1" applyFill="1" applyBorder="1" applyAlignment="1">
      <alignment horizontal="center" vertical="center" wrapText="1"/>
    </xf>
    <xf numFmtId="43" fontId="4" fillId="2" borderId="33" xfId="1" applyFont="1" applyFill="1" applyBorder="1" applyAlignment="1">
      <alignment horizontal="center" vertical="center" wrapText="1"/>
    </xf>
    <xf numFmtId="43" fontId="4" fillId="2" borderId="30" xfId="1" applyFont="1" applyFill="1" applyBorder="1" applyAlignment="1">
      <alignment horizontal="center" vertical="center" wrapText="1"/>
    </xf>
    <xf numFmtId="43" fontId="4" fillId="2" borderId="40" xfId="1" applyFont="1" applyFill="1" applyBorder="1" applyAlignment="1">
      <alignment horizontal="center" vertical="center" wrapText="1"/>
    </xf>
    <xf numFmtId="43" fontId="4" fillId="2" borderId="32" xfId="1" applyFont="1" applyFill="1" applyBorder="1" applyAlignment="1">
      <alignment horizontal="center" vertical="distributed" wrapText="1"/>
    </xf>
    <xf numFmtId="43" fontId="4" fillId="2" borderId="30" xfId="1" applyFont="1" applyFill="1" applyBorder="1" applyAlignment="1">
      <alignment horizontal="center" vertical="distributed" wrapText="1"/>
    </xf>
    <xf numFmtId="171" fontId="4" fillId="2" borderId="33" xfId="3" applyNumberFormat="1" applyFont="1" applyFill="1" applyBorder="1" applyAlignment="1">
      <alignment horizontal="center" vertical="center" wrapText="1"/>
    </xf>
    <xf numFmtId="172" fontId="4" fillId="2" borderId="33" xfId="1" applyNumberFormat="1" applyFont="1" applyFill="1" applyBorder="1" applyAlignment="1">
      <alignment horizontal="right" vertical="distributed" wrapText="1"/>
    </xf>
    <xf numFmtId="0" fontId="4" fillId="2" borderId="33" xfId="3" applyFont="1" applyFill="1" applyBorder="1" applyAlignment="1">
      <alignment horizontal="center" vertical="center" wrapText="1"/>
    </xf>
    <xf numFmtId="49" fontId="4" fillId="2" borderId="26" xfId="12" applyNumberFormat="1" applyFont="1" applyFill="1" applyBorder="1" applyAlignment="1">
      <alignment horizontal="center" vertical="center" wrapText="1"/>
    </xf>
    <xf numFmtId="0" fontId="4" fillId="2" borderId="26" xfId="12" applyFont="1" applyFill="1" applyBorder="1" applyAlignment="1">
      <alignment horizontal="left" vertical="center" wrapText="1"/>
    </xf>
    <xf numFmtId="0" fontId="4" fillId="2" borderId="26" xfId="3" applyFont="1" applyFill="1" applyBorder="1" applyAlignment="1">
      <alignment horizontal="center" vertical="center" wrapText="1"/>
    </xf>
    <xf numFmtId="43" fontId="4" fillId="2" borderId="37" xfId="1" applyFont="1" applyFill="1" applyBorder="1" applyAlignment="1">
      <alignment horizontal="center" vertical="center" wrapText="1"/>
    </xf>
    <xf numFmtId="43" fontId="4" fillId="2" borderId="26" xfId="1" applyFont="1" applyFill="1" applyBorder="1" applyAlignment="1">
      <alignment horizontal="center" vertical="center" wrapText="1"/>
    </xf>
    <xf numFmtId="43" fontId="4" fillId="2" borderId="39" xfId="1" applyFont="1" applyFill="1" applyBorder="1" applyAlignment="1">
      <alignment horizontal="center" vertical="center" wrapText="1"/>
    </xf>
    <xf numFmtId="43" fontId="4" fillId="2" borderId="38" xfId="1" applyFont="1" applyFill="1" applyBorder="1" applyAlignment="1">
      <alignment horizontal="center" vertical="center" wrapText="1"/>
    </xf>
    <xf numFmtId="43" fontId="4" fillId="2" borderId="37" xfId="1" applyFont="1" applyFill="1" applyBorder="1" applyAlignment="1">
      <alignment horizontal="center" vertical="distributed" wrapText="1"/>
    </xf>
    <xf numFmtId="43" fontId="4" fillId="2" borderId="39" xfId="1" applyFont="1" applyFill="1" applyBorder="1" applyAlignment="1">
      <alignment horizontal="center" vertical="distributed" wrapText="1"/>
    </xf>
    <xf numFmtId="172" fontId="4" fillId="2" borderId="26" xfId="1" applyNumberFormat="1" applyFont="1" applyFill="1" applyBorder="1" applyAlignment="1">
      <alignment horizontal="right" vertical="distributed" wrapText="1"/>
    </xf>
    <xf numFmtId="43" fontId="4" fillId="2" borderId="26" xfId="1" applyFont="1" applyFill="1" applyBorder="1" applyAlignment="1">
      <alignment horizontal="center" vertical="distributed" wrapText="1"/>
    </xf>
    <xf numFmtId="171" fontId="4" fillId="2" borderId="26" xfId="3" applyNumberFormat="1" applyFont="1" applyFill="1" applyBorder="1" applyAlignment="1">
      <alignment horizontal="center" vertical="center" wrapText="1"/>
    </xf>
    <xf numFmtId="0" fontId="4" fillId="2" borderId="26" xfId="3" applyFont="1" applyFill="1" applyBorder="1" applyAlignment="1">
      <alignment horizontal="center" vertical="distributed" wrapText="1"/>
    </xf>
    <xf numFmtId="1" fontId="3" fillId="2" borderId="17" xfId="0" applyNumberFormat="1" applyFont="1" applyFill="1" applyBorder="1" applyAlignment="1">
      <alignment vertical="center" wrapText="1"/>
    </xf>
    <xf numFmtId="0" fontId="4" fillId="0" borderId="0" xfId="3" applyFont="1" applyAlignment="1">
      <alignment wrapText="1"/>
    </xf>
    <xf numFmtId="0" fontId="4" fillId="0" borderId="5" xfId="3" applyFont="1" applyBorder="1" applyAlignment="1">
      <alignment horizontal="center" wrapText="1"/>
    </xf>
    <xf numFmtId="0" fontId="3" fillId="2" borderId="5" xfId="0" applyFont="1" applyFill="1" applyBorder="1" applyAlignment="1">
      <alignment vertical="center" wrapText="1"/>
    </xf>
    <xf numFmtId="165" fontId="43" fillId="5" borderId="7" xfId="1" applyNumberFormat="1" applyFont="1" applyFill="1" applyBorder="1" applyAlignment="1">
      <alignment horizontal="center" vertical="center" wrapText="1"/>
    </xf>
    <xf numFmtId="165" fontId="43" fillId="5" borderId="7" xfId="3" applyNumberFormat="1" applyFont="1" applyFill="1" applyBorder="1" applyAlignment="1">
      <alignment horizontal="center" vertical="center" wrapText="1"/>
    </xf>
    <xf numFmtId="0" fontId="3" fillId="2" borderId="0" xfId="0" applyFont="1" applyFill="1" applyAlignment="1">
      <alignment vertical="center" wrapText="1"/>
    </xf>
    <xf numFmtId="165" fontId="43" fillId="5" borderId="31" xfId="1" applyNumberFormat="1" applyFont="1" applyFill="1" applyBorder="1" applyAlignment="1">
      <alignment horizontal="center" vertical="center" wrapText="1"/>
    </xf>
    <xf numFmtId="165" fontId="43" fillId="5" borderId="31" xfId="3" applyNumberFormat="1" applyFont="1" applyFill="1" applyBorder="1" applyAlignment="1">
      <alignment horizontal="center" vertical="center" wrapText="1"/>
    </xf>
    <xf numFmtId="1" fontId="3" fillId="0" borderId="1" xfId="0" applyNumberFormat="1" applyFont="1" applyBorder="1" applyAlignment="1">
      <alignment vertical="center" wrapText="1"/>
    </xf>
    <xf numFmtId="0" fontId="3" fillId="0" borderId="2" xfId="0" applyFont="1" applyBorder="1" applyAlignment="1">
      <alignment vertical="center" wrapText="1"/>
    </xf>
    <xf numFmtId="0" fontId="43" fillId="0" borderId="2" xfId="0" applyFont="1" applyBorder="1" applyAlignment="1">
      <alignment horizontal="right" vertical="center" wrapText="1"/>
    </xf>
    <xf numFmtId="0" fontId="43" fillId="0" borderId="2" xfId="0" applyFont="1" applyBorder="1" applyAlignment="1">
      <alignment horizontal="center" vertical="center" wrapText="1"/>
    </xf>
    <xf numFmtId="10" fontId="43" fillId="0" borderId="2" xfId="3" applyNumberFormat="1" applyFont="1" applyBorder="1" applyAlignment="1">
      <alignment horizontal="right" vertical="center" wrapText="1"/>
    </xf>
    <xf numFmtId="10" fontId="43" fillId="0" borderId="2" xfId="3" applyNumberFormat="1" applyFont="1" applyBorder="1" applyAlignment="1">
      <alignment horizontal="center" vertical="center" wrapText="1"/>
    </xf>
    <xf numFmtId="174" fontId="43" fillId="0" borderId="2" xfId="3" applyNumberFormat="1" applyFont="1" applyBorder="1" applyAlignment="1">
      <alignment horizontal="center" vertical="center" wrapText="1"/>
    </xf>
    <xf numFmtId="0" fontId="43" fillId="0" borderId="2" xfId="3" applyFont="1" applyBorder="1" applyAlignment="1">
      <alignment horizontal="center" vertical="center" wrapText="1"/>
    </xf>
    <xf numFmtId="165" fontId="43" fillId="0" borderId="2" xfId="1" applyNumberFormat="1" applyFont="1" applyFill="1" applyBorder="1" applyAlignment="1">
      <alignment horizontal="center" vertical="center" wrapText="1"/>
    </xf>
    <xf numFmtId="165" fontId="43" fillId="0" borderId="2" xfId="3" applyNumberFormat="1" applyFont="1" applyBorder="1" applyAlignment="1">
      <alignment horizontal="center" vertical="center" wrapText="1"/>
    </xf>
    <xf numFmtId="0" fontId="4" fillId="0" borderId="2" xfId="3" applyFont="1" applyBorder="1" applyAlignment="1">
      <alignment wrapText="1"/>
    </xf>
    <xf numFmtId="0" fontId="4" fillId="0" borderId="3" xfId="3" applyFont="1" applyBorder="1" applyAlignment="1">
      <alignment horizontal="center" wrapText="1"/>
    </xf>
    <xf numFmtId="0" fontId="4" fillId="2" borderId="20" xfId="3" applyFont="1" applyFill="1" applyBorder="1" applyAlignment="1">
      <alignment horizontal="center" vertical="center" wrapText="1"/>
    </xf>
    <xf numFmtId="0" fontId="4" fillId="2" borderId="20" xfId="3" applyFont="1" applyFill="1" applyBorder="1" applyAlignment="1">
      <alignment horizontal="center" vertical="distributed" wrapText="1"/>
    </xf>
    <xf numFmtId="1" fontId="3" fillId="0" borderId="8" xfId="0" applyNumberFormat="1" applyFont="1" applyBorder="1" applyAlignment="1">
      <alignment vertical="center" wrapText="1"/>
    </xf>
    <xf numFmtId="0" fontId="3" fillId="0" borderId="9" xfId="0" applyFont="1" applyBorder="1" applyAlignment="1">
      <alignment vertical="center" wrapText="1"/>
    </xf>
    <xf numFmtId="0" fontId="43" fillId="0" borderId="9" xfId="0" applyFont="1" applyBorder="1" applyAlignment="1">
      <alignment horizontal="right" vertical="center" wrapText="1"/>
    </xf>
    <xf numFmtId="0" fontId="43" fillId="0" borderId="9" xfId="0" applyFont="1" applyBorder="1" applyAlignment="1">
      <alignment horizontal="center" vertical="center" wrapText="1"/>
    </xf>
    <xf numFmtId="10" fontId="43" fillId="0" borderId="9" xfId="3" applyNumberFormat="1" applyFont="1" applyBorder="1" applyAlignment="1">
      <alignment horizontal="right" vertical="center" wrapText="1"/>
    </xf>
    <xf numFmtId="10" fontId="43" fillId="0" borderId="9" xfId="3" applyNumberFormat="1" applyFont="1" applyBorder="1" applyAlignment="1">
      <alignment horizontal="center" vertical="center" wrapText="1"/>
    </xf>
    <xf numFmtId="174" fontId="43" fillId="0" borderId="9" xfId="3" applyNumberFormat="1" applyFont="1" applyBorder="1" applyAlignment="1">
      <alignment horizontal="center" vertical="center" wrapText="1"/>
    </xf>
    <xf numFmtId="0" fontId="43" fillId="0" borderId="9" xfId="3" applyFont="1" applyBorder="1" applyAlignment="1">
      <alignment horizontal="center" vertical="center" wrapText="1"/>
    </xf>
    <xf numFmtId="165" fontId="43" fillId="0" borderId="9" xfId="1" applyNumberFormat="1" applyFont="1" applyFill="1" applyBorder="1" applyAlignment="1">
      <alignment horizontal="center" vertical="center" wrapText="1"/>
    </xf>
    <xf numFmtId="165" fontId="43" fillId="0" borderId="9" xfId="3" applyNumberFormat="1" applyFont="1" applyBorder="1" applyAlignment="1">
      <alignment horizontal="center" vertical="center" wrapText="1"/>
    </xf>
    <xf numFmtId="0" fontId="4" fillId="0" borderId="9" xfId="3" applyFont="1" applyBorder="1" applyAlignment="1">
      <alignment wrapText="1"/>
    </xf>
    <xf numFmtId="0" fontId="4" fillId="0" borderId="10" xfId="3" applyFont="1" applyBorder="1" applyAlignment="1">
      <alignment horizontal="center" wrapText="1"/>
    </xf>
    <xf numFmtId="43" fontId="4" fillId="2" borderId="14" xfId="1" applyFont="1" applyFill="1" applyBorder="1" applyAlignment="1">
      <alignment horizontal="center" vertical="distributed" wrapText="1"/>
    </xf>
    <xf numFmtId="0" fontId="4" fillId="2" borderId="17" xfId="3" applyFont="1" applyFill="1" applyBorder="1" applyAlignment="1">
      <alignment horizontal="center" vertical="distributed" wrapText="1"/>
    </xf>
    <xf numFmtId="0" fontId="4" fillId="2" borderId="23" xfId="3" applyFont="1" applyFill="1" applyBorder="1" applyAlignment="1">
      <alignment horizontal="center" vertical="distributed" wrapText="1"/>
    </xf>
    <xf numFmtId="0" fontId="3" fillId="2" borderId="31" xfId="3" applyFont="1" applyFill="1" applyBorder="1" applyAlignment="1">
      <alignment horizontal="center" wrapText="1"/>
    </xf>
    <xf numFmtId="0" fontId="3" fillId="2" borderId="34" xfId="3" applyFont="1" applyFill="1" applyBorder="1" applyAlignment="1">
      <alignment horizontal="center" vertical="top" wrapText="1"/>
    </xf>
    <xf numFmtId="0" fontId="4" fillId="2" borderId="31" xfId="3" applyFont="1" applyFill="1" applyBorder="1" applyAlignment="1">
      <alignment horizontal="center" vertical="center" wrapText="1"/>
    </xf>
    <xf numFmtId="165" fontId="40" fillId="7" borderId="10" xfId="0" applyNumberFormat="1" applyFont="1" applyFill="1" applyBorder="1" applyAlignment="1">
      <alignment horizontal="center" vertical="center"/>
    </xf>
    <xf numFmtId="165" fontId="24" fillId="4" borderId="0" xfId="0" applyNumberFormat="1" applyFont="1" applyFill="1" applyAlignment="1">
      <alignment horizontal="center" vertical="center"/>
    </xf>
    <xf numFmtId="0" fontId="24" fillId="4" borderId="18" xfId="0" applyFont="1" applyFill="1" applyBorder="1" applyAlignment="1">
      <alignment horizontal="right" vertical="center"/>
    </xf>
    <xf numFmtId="0" fontId="24" fillId="4" borderId="18" xfId="0" applyFont="1" applyFill="1" applyBorder="1" applyAlignment="1">
      <alignment vertical="center"/>
    </xf>
    <xf numFmtId="0" fontId="24" fillId="4" borderId="19" xfId="0" applyFont="1" applyFill="1" applyBorder="1" applyAlignment="1">
      <alignment horizontal="center" vertical="center"/>
    </xf>
    <xf numFmtId="0" fontId="36" fillId="2" borderId="17" xfId="3" applyFont="1" applyFill="1" applyBorder="1" applyAlignment="1">
      <alignment horizontal="center" wrapText="1"/>
    </xf>
    <xf numFmtId="165" fontId="5" fillId="2" borderId="0" xfId="3" applyNumberFormat="1" applyFont="1" applyFill="1" applyAlignment="1">
      <alignment horizontal="center" vertical="center"/>
    </xf>
    <xf numFmtId="2" fontId="4" fillId="0" borderId="11" xfId="3" applyNumberFormat="1" applyFont="1" applyBorder="1" applyAlignment="1">
      <alignment horizontal="center" vertical="center" wrapText="1"/>
    </xf>
    <xf numFmtId="0" fontId="4" fillId="0" borderId="12" xfId="3" applyFont="1" applyBorder="1" applyAlignment="1">
      <alignment horizontal="center" vertical="center" wrapText="1"/>
    </xf>
    <xf numFmtId="2" fontId="4" fillId="0" borderId="13" xfId="3" applyNumberFormat="1" applyFont="1" applyBorder="1" applyAlignment="1">
      <alignment horizontal="center" vertical="center" wrapText="1"/>
    </xf>
    <xf numFmtId="2" fontId="4" fillId="0" borderId="11" xfId="3" applyNumberFormat="1" applyFont="1" applyBorder="1" applyAlignment="1">
      <alignment horizontal="center" vertical="distributed" wrapText="1"/>
    </xf>
    <xf numFmtId="0" fontId="4" fillId="0" borderId="12" xfId="3" applyFont="1" applyBorder="1" applyAlignment="1">
      <alignment horizontal="center" vertical="distributed" wrapText="1"/>
    </xf>
    <xf numFmtId="2" fontId="4" fillId="0" borderId="13" xfId="3" applyNumberFormat="1" applyFont="1" applyBorder="1" applyAlignment="1">
      <alignment horizontal="center" vertical="distributed" wrapText="1"/>
    </xf>
    <xf numFmtId="0" fontId="4" fillId="0" borderId="21" xfId="3" applyFont="1" applyBorder="1" applyAlignment="1">
      <alignment horizontal="center" vertical="center" wrapText="1"/>
    </xf>
    <xf numFmtId="0" fontId="4" fillId="0" borderId="31" xfId="3" applyFont="1" applyBorder="1" applyAlignment="1">
      <alignment horizontal="center" vertical="center" wrapText="1"/>
    </xf>
    <xf numFmtId="171" fontId="4" fillId="0" borderId="21" xfId="3" applyNumberFormat="1" applyFont="1" applyBorder="1" applyAlignment="1">
      <alignment horizontal="center" vertical="center" wrapText="1"/>
    </xf>
    <xf numFmtId="0" fontId="4" fillId="2" borderId="17" xfId="3" applyFont="1" applyFill="1" applyBorder="1" applyAlignment="1">
      <alignment horizontal="left" vertical="distributed" wrapText="1"/>
    </xf>
    <xf numFmtId="165" fontId="2" fillId="2" borderId="0" xfId="3" applyNumberFormat="1" applyFill="1" applyAlignment="1">
      <alignment horizontal="center" vertical="center"/>
    </xf>
    <xf numFmtId="2" fontId="4" fillId="2" borderId="4" xfId="3" applyNumberFormat="1" applyFont="1" applyFill="1" applyBorder="1" applyAlignment="1">
      <alignment horizontal="center" vertical="center" wrapText="1"/>
    </xf>
    <xf numFmtId="2" fontId="4" fillId="2" borderId="5" xfId="3" applyNumberFormat="1" applyFont="1" applyFill="1" applyBorder="1" applyAlignment="1">
      <alignment horizontal="center" vertical="center" wrapText="1"/>
    </xf>
    <xf numFmtId="2" fontId="4" fillId="2" borderId="32" xfId="3" applyNumberFormat="1" applyFont="1" applyFill="1" applyBorder="1" applyAlignment="1">
      <alignment horizontal="center" vertical="distributed" wrapText="1"/>
    </xf>
    <xf numFmtId="2" fontId="4" fillId="2" borderId="30" xfId="3" applyNumberFormat="1" applyFont="1" applyFill="1" applyBorder="1" applyAlignment="1">
      <alignment horizontal="center" vertical="distributed" wrapText="1"/>
    </xf>
    <xf numFmtId="2" fontId="4" fillId="2" borderId="23" xfId="3" applyNumberFormat="1" applyFont="1" applyFill="1" applyBorder="1" applyAlignment="1">
      <alignment horizontal="center" vertical="center" wrapText="1"/>
    </xf>
    <xf numFmtId="0" fontId="4" fillId="2" borderId="23" xfId="3" applyFont="1" applyFill="1" applyBorder="1" applyAlignment="1">
      <alignment horizontal="left" vertical="distributed" wrapText="1"/>
    </xf>
    <xf numFmtId="2" fontId="41" fillId="2" borderId="14" xfId="3" applyNumberFormat="1" applyFont="1" applyFill="1" applyBorder="1" applyAlignment="1">
      <alignment horizontal="center" vertical="center" wrapText="1"/>
    </xf>
    <xf numFmtId="2" fontId="41" fillId="2" borderId="16" xfId="3" applyNumberFormat="1" applyFont="1" applyFill="1" applyBorder="1" applyAlignment="1">
      <alignment horizontal="center" vertical="center" wrapText="1"/>
    </xf>
    <xf numFmtId="0" fontId="41" fillId="2" borderId="23" xfId="3" applyFont="1" applyFill="1" applyBorder="1" applyAlignment="1">
      <alignment horizontal="center" vertical="center" wrapText="1"/>
    </xf>
    <xf numFmtId="2" fontId="41" fillId="2" borderId="23" xfId="3" applyNumberFormat="1" applyFont="1" applyFill="1" applyBorder="1" applyAlignment="1">
      <alignment horizontal="center" vertical="center" wrapText="1"/>
    </xf>
    <xf numFmtId="43" fontId="41" fillId="2" borderId="23" xfId="1" applyFont="1" applyFill="1" applyBorder="1" applyAlignment="1">
      <alignment horizontal="center" vertical="center" wrapText="1"/>
    </xf>
    <xf numFmtId="171" fontId="41" fillId="2" borderId="23" xfId="3" applyNumberFormat="1" applyFont="1" applyFill="1" applyBorder="1" applyAlignment="1">
      <alignment horizontal="center" vertical="center" wrapText="1"/>
    </xf>
    <xf numFmtId="49" fontId="39" fillId="2" borderId="33" xfId="12" applyNumberFormat="1" applyFont="1" applyFill="1" applyBorder="1" applyAlignment="1">
      <alignment horizontal="center" vertical="center" wrapText="1"/>
    </xf>
    <xf numFmtId="2" fontId="4" fillId="2" borderId="1" xfId="3" applyNumberFormat="1" applyFont="1" applyFill="1" applyBorder="1" applyAlignment="1">
      <alignment horizontal="center" vertical="center" wrapText="1"/>
    </xf>
    <xf numFmtId="0" fontId="4" fillId="2" borderId="2" xfId="3" applyFont="1" applyFill="1" applyBorder="1" applyAlignment="1">
      <alignment horizontal="center" vertical="center" wrapText="1"/>
    </xf>
    <xf numFmtId="2" fontId="4" fillId="2" borderId="3" xfId="3" applyNumberFormat="1" applyFont="1" applyFill="1" applyBorder="1" applyAlignment="1">
      <alignment horizontal="center" vertical="center" wrapText="1"/>
    </xf>
    <xf numFmtId="2" fontId="4" fillId="2" borderId="1" xfId="3" applyNumberFormat="1" applyFont="1" applyFill="1" applyBorder="1" applyAlignment="1">
      <alignment horizontal="center" vertical="distributed" wrapText="1"/>
    </xf>
    <xf numFmtId="0" fontId="4" fillId="2" borderId="2" xfId="3" applyFont="1" applyFill="1" applyBorder="1" applyAlignment="1">
      <alignment horizontal="center" vertical="distributed" wrapText="1"/>
    </xf>
    <xf numFmtId="2" fontId="4" fillId="2" borderId="3" xfId="3" applyNumberFormat="1" applyFont="1" applyFill="1" applyBorder="1" applyAlignment="1">
      <alignment horizontal="center" vertical="distributed" wrapText="1"/>
    </xf>
    <xf numFmtId="0" fontId="4" fillId="2" borderId="31" xfId="3" applyFont="1" applyFill="1" applyBorder="1" applyAlignment="1">
      <alignment horizontal="center" vertical="top" wrapText="1"/>
    </xf>
    <xf numFmtId="165" fontId="4" fillId="2" borderId="31" xfId="3" applyNumberFormat="1" applyFont="1" applyFill="1" applyBorder="1" applyAlignment="1">
      <alignment horizontal="right" vertical="center" wrapText="1"/>
    </xf>
    <xf numFmtId="171" fontId="4" fillId="2" borderId="31" xfId="3" applyNumberFormat="1" applyFont="1" applyFill="1" applyBorder="1" applyAlignment="1">
      <alignment horizontal="center" vertical="center" wrapText="1"/>
    </xf>
    <xf numFmtId="1" fontId="3" fillId="2" borderId="20" xfId="3" applyNumberFormat="1" applyFont="1" applyFill="1" applyBorder="1" applyAlignment="1">
      <alignment horizontal="center" vertical="center" wrapText="1"/>
    </xf>
    <xf numFmtId="0" fontId="41" fillId="2" borderId="23" xfId="3" applyFont="1" applyFill="1" applyBorder="1" applyAlignment="1">
      <alignment horizontal="center" vertical="top" wrapText="1"/>
    </xf>
    <xf numFmtId="165" fontId="41" fillId="2" borderId="23" xfId="3" applyNumberFormat="1" applyFont="1" applyFill="1" applyBorder="1" applyAlignment="1">
      <alignment horizontal="right" vertical="center" wrapText="1"/>
    </xf>
    <xf numFmtId="2" fontId="4" fillId="0" borderId="14" xfId="3" applyNumberFormat="1" applyFont="1" applyBorder="1" applyAlignment="1">
      <alignment horizontal="center" vertical="distributed" wrapText="1"/>
    </xf>
    <xf numFmtId="0" fontId="4" fillId="0" borderId="15" xfId="3" applyFont="1" applyBorder="1" applyAlignment="1">
      <alignment horizontal="center" vertical="distributed" wrapText="1"/>
    </xf>
    <xf numFmtId="2" fontId="4" fillId="0" borderId="16" xfId="3" applyNumberFormat="1" applyFont="1" applyBorder="1" applyAlignment="1">
      <alignment horizontal="center" vertical="distributed" wrapText="1"/>
    </xf>
    <xf numFmtId="0" fontId="4" fillId="2" borderId="14" xfId="3" applyFont="1" applyFill="1" applyBorder="1" applyAlignment="1">
      <alignment horizontal="center" vertical="distributed" wrapText="1"/>
    </xf>
    <xf numFmtId="0" fontId="4" fillId="2" borderId="15" xfId="3" applyFont="1" applyFill="1" applyBorder="1" applyAlignment="1">
      <alignment horizontal="center" vertical="distributed" wrapText="1"/>
    </xf>
    <xf numFmtId="0" fontId="4" fillId="2" borderId="16" xfId="3" applyFont="1" applyFill="1" applyBorder="1" applyAlignment="1">
      <alignment horizontal="center" vertical="distributed" wrapText="1"/>
    </xf>
    <xf numFmtId="0" fontId="4" fillId="2" borderId="23" xfId="3" applyFont="1" applyFill="1" applyBorder="1" applyAlignment="1">
      <alignment horizontal="center" vertical="top" wrapText="1"/>
    </xf>
    <xf numFmtId="165" fontId="4" fillId="2" borderId="23" xfId="3" applyNumberFormat="1" applyFont="1" applyFill="1" applyBorder="1" applyAlignment="1">
      <alignment horizontal="right" vertical="center" wrapText="1"/>
    </xf>
    <xf numFmtId="0" fontId="4" fillId="2" borderId="16" xfId="3" applyFont="1" applyFill="1" applyBorder="1" applyAlignment="1">
      <alignment horizontal="center" vertical="center" wrapText="1"/>
    </xf>
    <xf numFmtId="0" fontId="4" fillId="2" borderId="15" xfId="3" applyFont="1" applyFill="1" applyBorder="1" applyAlignment="1">
      <alignment horizontal="center" vertical="center" wrapText="1"/>
    </xf>
    <xf numFmtId="174" fontId="4" fillId="0" borderId="14" xfId="3" applyNumberFormat="1" applyFont="1" applyBorder="1" applyAlignment="1">
      <alignment horizontal="center" vertical="center" wrapText="1"/>
    </xf>
    <xf numFmtId="1" fontId="4" fillId="2" borderId="23" xfId="3" applyNumberFormat="1" applyFont="1" applyFill="1" applyBorder="1" applyAlignment="1">
      <alignment horizontal="left" vertical="center" wrapText="1"/>
    </xf>
    <xf numFmtId="174" fontId="4" fillId="2" borderId="14" xfId="3" applyNumberFormat="1" applyFont="1" applyFill="1" applyBorder="1" applyAlignment="1">
      <alignment horizontal="center" vertical="center" wrapText="1"/>
    </xf>
    <xf numFmtId="0" fontId="4" fillId="0" borderId="23" xfId="3" applyFont="1" applyBorder="1" applyAlignment="1">
      <alignment horizontal="justify" vertical="distributed" wrapText="1"/>
    </xf>
    <xf numFmtId="2" fontId="4" fillId="2" borderId="11" xfId="3" applyNumberFormat="1" applyFont="1" applyFill="1" applyBorder="1" applyAlignment="1">
      <alignment horizontal="center" vertical="center" wrapText="1"/>
    </xf>
    <xf numFmtId="0" fontId="4" fillId="2" borderId="12" xfId="3" applyFont="1" applyFill="1" applyBorder="1" applyAlignment="1">
      <alignment horizontal="center" vertical="center" wrapText="1"/>
    </xf>
    <xf numFmtId="2" fontId="4" fillId="2" borderId="13" xfId="3" applyNumberFormat="1" applyFont="1" applyFill="1" applyBorder="1" applyAlignment="1">
      <alignment horizontal="center" vertical="center" wrapText="1"/>
    </xf>
    <xf numFmtId="2" fontId="4" fillId="2" borderId="11" xfId="3" applyNumberFormat="1" applyFont="1" applyFill="1" applyBorder="1" applyAlignment="1">
      <alignment horizontal="center" vertical="distributed" wrapText="1"/>
    </xf>
    <xf numFmtId="0" fontId="4" fillId="2" borderId="12" xfId="3" applyFont="1" applyFill="1" applyBorder="1" applyAlignment="1">
      <alignment horizontal="center" vertical="distributed" wrapText="1"/>
    </xf>
    <xf numFmtId="2" fontId="4" fillId="2" borderId="13" xfId="3" applyNumberFormat="1" applyFont="1" applyFill="1" applyBorder="1" applyAlignment="1">
      <alignment horizontal="center" vertical="distributed" wrapText="1"/>
    </xf>
    <xf numFmtId="174" fontId="4" fillId="2" borderId="31" xfId="3" applyNumberFormat="1" applyFont="1" applyFill="1" applyBorder="1" applyAlignment="1">
      <alignment horizontal="center" vertical="center" wrapText="1"/>
    </xf>
    <xf numFmtId="4" fontId="4" fillId="2" borderId="31" xfId="3" applyNumberFormat="1" applyFont="1" applyFill="1" applyBorder="1" applyAlignment="1">
      <alignment horizontal="right" vertical="center" wrapText="1"/>
    </xf>
    <xf numFmtId="174" fontId="4" fillId="2" borderId="23" xfId="3" applyNumberFormat="1" applyFont="1" applyFill="1" applyBorder="1" applyAlignment="1">
      <alignment horizontal="center" vertical="center" wrapText="1"/>
    </xf>
    <xf numFmtId="10" fontId="4" fillId="2" borderId="23" xfId="3" applyNumberFormat="1" applyFont="1" applyFill="1" applyBorder="1" applyAlignment="1">
      <alignment horizontal="center" vertical="center" wrapText="1"/>
    </xf>
    <xf numFmtId="4" fontId="4" fillId="2" borderId="23" xfId="3" applyNumberFormat="1" applyFont="1" applyFill="1" applyBorder="1" applyAlignment="1">
      <alignment horizontal="right" vertical="center" wrapText="1"/>
    </xf>
    <xf numFmtId="174" fontId="4" fillId="2" borderId="23" xfId="3" applyNumberFormat="1" applyFont="1" applyFill="1" applyBorder="1" applyAlignment="1">
      <alignment horizontal="left" vertical="distributed" wrapText="1"/>
    </xf>
    <xf numFmtId="1" fontId="4" fillId="0" borderId="11" xfId="3" applyNumberFormat="1" applyFont="1" applyBorder="1" applyAlignment="1">
      <alignment horizontal="center" vertical="distributed" wrapText="1"/>
    </xf>
    <xf numFmtId="1" fontId="4" fillId="0" borderId="11" xfId="3" applyNumberFormat="1" applyFont="1" applyBorder="1" applyAlignment="1">
      <alignment horizontal="center" vertical="center" wrapText="1"/>
    </xf>
    <xf numFmtId="174" fontId="4" fillId="2" borderId="21" xfId="3" applyNumberFormat="1" applyFont="1" applyFill="1" applyBorder="1" applyAlignment="1">
      <alignment horizontal="center" vertical="center" wrapText="1"/>
    </xf>
    <xf numFmtId="0" fontId="44" fillId="0" borderId="20" xfId="3" applyFont="1" applyBorder="1" applyAlignment="1">
      <alignment horizontal="left" vertical="distributed" wrapText="1"/>
    </xf>
    <xf numFmtId="0" fontId="4" fillId="2" borderId="11" xfId="3" applyFont="1" applyFill="1" applyBorder="1" applyAlignment="1">
      <alignment horizontal="center" vertical="center" wrapText="1"/>
    </xf>
    <xf numFmtId="0" fontId="4" fillId="2" borderId="13" xfId="3" applyFont="1" applyFill="1" applyBorder="1" applyAlignment="1">
      <alignment horizontal="center" vertical="center" wrapText="1"/>
    </xf>
    <xf numFmtId="0" fontId="4" fillId="2" borderId="11" xfId="3" applyFont="1" applyFill="1" applyBorder="1" applyAlignment="1">
      <alignment horizontal="center" vertical="distributed" wrapText="1"/>
    </xf>
    <xf numFmtId="0" fontId="4" fillId="2" borderId="13" xfId="3" applyFont="1" applyFill="1" applyBorder="1" applyAlignment="1">
      <alignment horizontal="center" vertical="distributed" wrapText="1"/>
    </xf>
    <xf numFmtId="2" fontId="4" fillId="2" borderId="21" xfId="3" applyNumberFormat="1" applyFont="1" applyFill="1" applyBorder="1" applyAlignment="1">
      <alignment horizontal="center" vertical="center" wrapText="1"/>
    </xf>
    <xf numFmtId="0" fontId="4" fillId="0" borderId="17" xfId="3" applyFont="1" applyBorder="1" applyAlignment="1">
      <alignment horizontal="left" vertical="distributed" wrapText="1"/>
    </xf>
    <xf numFmtId="0" fontId="4" fillId="0" borderId="4" xfId="3" applyFont="1" applyBorder="1" applyAlignment="1">
      <alignment horizontal="center" vertical="center" wrapText="1"/>
    </xf>
    <xf numFmtId="0" fontId="4" fillId="0" borderId="23" xfId="3" applyFont="1" applyBorder="1" applyAlignment="1">
      <alignment horizontal="left" vertical="distributed" wrapText="1"/>
    </xf>
    <xf numFmtId="1" fontId="40" fillId="4" borderId="10" xfId="0" applyNumberFormat="1" applyFont="1" applyFill="1" applyBorder="1" applyAlignment="1">
      <alignment horizontal="center" vertical="center"/>
    </xf>
    <xf numFmtId="165" fontId="24" fillId="2" borderId="0" xfId="0" applyNumberFormat="1" applyFont="1" applyFill="1" applyAlignment="1">
      <alignment horizontal="center" vertical="center"/>
    </xf>
    <xf numFmtId="0" fontId="4" fillId="2" borderId="23" xfId="12" applyFont="1" applyFill="1" applyBorder="1" applyAlignment="1">
      <alignment horizontal="left" vertical="center" wrapText="1"/>
    </xf>
    <xf numFmtId="2" fontId="4" fillId="2" borderId="14" xfId="3" applyNumberFormat="1" applyFont="1" applyFill="1" applyBorder="1" applyAlignment="1">
      <alignment horizontal="center" vertical="center" wrapText="1"/>
    </xf>
    <xf numFmtId="1" fontId="4" fillId="2" borderId="15" xfId="3" applyNumberFormat="1" applyFont="1" applyFill="1" applyBorder="1" applyAlignment="1">
      <alignment horizontal="center" vertical="center" wrapText="1"/>
    </xf>
    <xf numFmtId="2" fontId="4" fillId="2" borderId="16" xfId="3" applyNumberFormat="1" applyFont="1" applyFill="1" applyBorder="1" applyAlignment="1">
      <alignment horizontal="center" vertical="center" wrapText="1"/>
    </xf>
    <xf numFmtId="1" fontId="4" fillId="2" borderId="14" xfId="3" applyNumberFormat="1" applyFont="1" applyFill="1" applyBorder="1" applyAlignment="1">
      <alignment horizontal="right" vertical="center" wrapText="1"/>
    </xf>
    <xf numFmtId="2" fontId="4" fillId="2" borderId="16" xfId="3" applyNumberFormat="1" applyFont="1" applyFill="1" applyBorder="1" applyAlignment="1">
      <alignment horizontal="left" vertical="center" wrapText="1"/>
    </xf>
    <xf numFmtId="1" fontId="4" fillId="2" borderId="32" xfId="3" applyNumberFormat="1" applyFont="1" applyFill="1" applyBorder="1" applyAlignment="1">
      <alignment horizontal="right" vertical="center" wrapText="1"/>
    </xf>
    <xf numFmtId="1" fontId="4" fillId="2" borderId="40" xfId="3" applyNumberFormat="1" applyFont="1" applyFill="1" applyBorder="1" applyAlignment="1">
      <alignment horizontal="center" vertical="center" wrapText="1"/>
    </xf>
    <xf numFmtId="2" fontId="4" fillId="2" borderId="30" xfId="3" applyNumberFormat="1" applyFont="1" applyFill="1" applyBorder="1" applyAlignment="1">
      <alignment horizontal="left" vertical="center" wrapText="1"/>
    </xf>
    <xf numFmtId="43" fontId="4" fillId="2" borderId="14" xfId="1" applyFont="1" applyFill="1" applyBorder="1" applyAlignment="1">
      <alignment horizontal="center" vertical="center" wrapText="1"/>
    </xf>
    <xf numFmtId="43" fontId="4" fillId="2" borderId="16" xfId="1" applyFont="1" applyFill="1" applyBorder="1" applyAlignment="1">
      <alignment horizontal="center" vertical="center" wrapText="1"/>
    </xf>
    <xf numFmtId="43" fontId="4" fillId="2" borderId="15" xfId="1" applyFont="1" applyFill="1" applyBorder="1" applyAlignment="1">
      <alignment horizontal="center" vertical="center" wrapText="1"/>
    </xf>
    <xf numFmtId="43" fontId="4" fillId="2" borderId="16" xfId="1" applyFont="1" applyFill="1" applyBorder="1" applyAlignment="1">
      <alignment horizontal="center" vertical="distributed" wrapText="1"/>
    </xf>
    <xf numFmtId="0" fontId="4" fillId="2" borderId="20" xfId="3" applyFont="1" applyFill="1" applyBorder="1" applyAlignment="1">
      <alignment horizontal="left" vertical="distributed" wrapText="1"/>
    </xf>
    <xf numFmtId="0" fontId="4" fillId="0" borderId="23" xfId="3" applyFont="1" applyBorder="1" applyAlignment="1">
      <alignment horizontal="center" vertical="center" wrapText="1"/>
    </xf>
    <xf numFmtId="1" fontId="41" fillId="0" borderId="23" xfId="3" applyNumberFormat="1" applyFont="1" applyBorder="1" applyAlignment="1">
      <alignment horizontal="left" vertical="center" wrapText="1"/>
    </xf>
    <xf numFmtId="165" fontId="24" fillId="2" borderId="0" xfId="0" applyNumberFormat="1" applyFont="1" applyFill="1" applyAlignment="1">
      <alignment vertical="center"/>
    </xf>
    <xf numFmtId="1" fontId="3" fillId="0" borderId="21" xfId="3" applyNumberFormat="1" applyFont="1" applyBorder="1" applyAlignment="1">
      <alignment horizontal="center" vertical="center" wrapText="1"/>
    </xf>
    <xf numFmtId="174" fontId="4" fillId="0" borderId="13" xfId="3" applyNumberFormat="1" applyFont="1" applyBorder="1" applyAlignment="1">
      <alignment horizontal="center" vertical="distributed" wrapText="1"/>
    </xf>
    <xf numFmtId="0" fontId="4" fillId="0" borderId="21" xfId="3" applyFont="1" applyBorder="1" applyAlignment="1">
      <alignment horizontal="center" vertical="top" wrapText="1"/>
    </xf>
    <xf numFmtId="165" fontId="4" fillId="0" borderId="21" xfId="3" applyNumberFormat="1" applyFont="1" applyBorder="1" applyAlignment="1">
      <alignment horizontal="right" vertical="center" wrapText="1"/>
    </xf>
    <xf numFmtId="1" fontId="41" fillId="0" borderId="21" xfId="3" applyNumberFormat="1" applyFont="1" applyBorder="1" applyAlignment="1">
      <alignment horizontal="left" vertical="center" wrapText="1"/>
    </xf>
    <xf numFmtId="165" fontId="41" fillId="2" borderId="21" xfId="3" applyNumberFormat="1" applyFont="1" applyFill="1" applyBorder="1" applyAlignment="1">
      <alignment horizontal="right" vertical="center" wrapText="1"/>
    </xf>
    <xf numFmtId="171" fontId="41" fillId="2" borderId="21" xfId="3" applyNumberFormat="1" applyFont="1" applyFill="1" applyBorder="1" applyAlignment="1">
      <alignment horizontal="center" vertical="center" wrapText="1"/>
    </xf>
    <xf numFmtId="0" fontId="41" fillId="2" borderId="17" xfId="3" applyFont="1" applyFill="1" applyBorder="1" applyAlignment="1">
      <alignment horizontal="left" vertical="distributed" wrapText="1"/>
    </xf>
    <xf numFmtId="0" fontId="3" fillId="0" borderId="17" xfId="3" applyFont="1" applyBorder="1" applyAlignment="1">
      <alignment horizontal="center" vertical="distributed" wrapText="1"/>
    </xf>
    <xf numFmtId="165" fontId="2" fillId="0" borderId="0" xfId="3" applyNumberFormat="1" applyAlignment="1">
      <alignment horizontal="right"/>
    </xf>
    <xf numFmtId="0" fontId="4" fillId="2" borderId="33" xfId="12" applyFont="1" applyFill="1" applyBorder="1" applyAlignment="1">
      <alignment horizontal="left" vertical="center" wrapText="1"/>
    </xf>
    <xf numFmtId="2" fontId="4" fillId="0" borderId="1" xfId="3" applyNumberFormat="1" applyFont="1" applyBorder="1" applyAlignment="1">
      <alignment horizontal="center" vertical="center" wrapText="1"/>
    </xf>
    <xf numFmtId="0" fontId="4" fillId="0" borderId="2" xfId="3" applyFont="1" applyBorder="1" applyAlignment="1">
      <alignment horizontal="center" vertical="center" wrapText="1"/>
    </xf>
    <xf numFmtId="2" fontId="4" fillId="0" borderId="3" xfId="3" applyNumberFormat="1" applyFont="1" applyBorder="1" applyAlignment="1">
      <alignment horizontal="center" vertical="center" wrapText="1"/>
    </xf>
    <xf numFmtId="2" fontId="4" fillId="0" borderId="1" xfId="3" applyNumberFormat="1" applyFont="1" applyBorder="1" applyAlignment="1">
      <alignment horizontal="center" vertical="distributed" wrapText="1"/>
    </xf>
    <xf numFmtId="0" fontId="4" fillId="0" borderId="2" xfId="3" applyFont="1" applyBorder="1" applyAlignment="1">
      <alignment horizontal="center" vertical="distributed" wrapText="1"/>
    </xf>
    <xf numFmtId="2" fontId="4" fillId="0" borderId="3" xfId="3" applyNumberFormat="1" applyFont="1" applyBorder="1" applyAlignment="1">
      <alignment horizontal="center" vertical="distributed" wrapText="1"/>
    </xf>
    <xf numFmtId="174" fontId="4" fillId="0" borderId="31" xfId="3" applyNumberFormat="1" applyFont="1" applyBorder="1" applyAlignment="1">
      <alignment horizontal="center" vertical="center" wrapText="1"/>
    </xf>
    <xf numFmtId="0" fontId="4" fillId="0" borderId="31" xfId="3" applyFont="1" applyBorder="1" applyAlignment="1">
      <alignment horizontal="center" vertical="top" wrapText="1"/>
    </xf>
    <xf numFmtId="165" fontId="4" fillId="0" borderId="31" xfId="3" applyNumberFormat="1" applyFont="1" applyBorder="1" applyAlignment="1">
      <alignment horizontal="right" vertical="center" wrapText="1"/>
    </xf>
    <xf numFmtId="171" fontId="4" fillId="0" borderId="31" xfId="3" applyNumberFormat="1" applyFont="1" applyBorder="1" applyAlignment="1">
      <alignment horizontal="center" vertical="center" wrapText="1"/>
    </xf>
    <xf numFmtId="2" fontId="4" fillId="2" borderId="14" xfId="3" applyNumberFormat="1" applyFont="1" applyFill="1" applyBorder="1" applyAlignment="1">
      <alignment horizontal="center" vertical="distributed" wrapText="1"/>
    </xf>
    <xf numFmtId="0" fontId="4" fillId="0" borderId="16" xfId="3" applyFont="1" applyBorder="1" applyAlignment="1">
      <alignment horizontal="center" vertical="center" wrapText="1"/>
    </xf>
    <xf numFmtId="0" fontId="4" fillId="0" borderId="15" xfId="3" applyFont="1" applyBorder="1" applyAlignment="1">
      <alignment horizontal="center" vertical="center" wrapText="1"/>
    </xf>
    <xf numFmtId="0" fontId="4" fillId="0" borderId="23" xfId="3" applyFont="1" applyBorder="1" applyAlignment="1">
      <alignment horizontal="center" vertical="top" wrapText="1"/>
    </xf>
    <xf numFmtId="165" fontId="4" fillId="0" borderId="23" xfId="3" applyNumberFormat="1" applyFont="1" applyBorder="1" applyAlignment="1">
      <alignment horizontal="right" vertical="center" wrapText="1"/>
    </xf>
    <xf numFmtId="0" fontId="4" fillId="0" borderId="14" xfId="3" applyFont="1" applyBorder="1" applyAlignment="1">
      <alignment horizontal="center" vertical="center" wrapText="1"/>
    </xf>
    <xf numFmtId="171" fontId="4" fillId="0" borderId="23" xfId="3" applyNumberFormat="1" applyFont="1" applyBorder="1" applyAlignment="1">
      <alignment horizontal="center" vertical="center" wrapText="1"/>
    </xf>
    <xf numFmtId="2" fontId="4" fillId="2" borderId="4" xfId="3" applyNumberFormat="1" applyFont="1" applyFill="1" applyBorder="1" applyAlignment="1">
      <alignment horizontal="center" vertical="distributed" wrapText="1"/>
    </xf>
    <xf numFmtId="0" fontId="4" fillId="2" borderId="0" xfId="3" applyFont="1" applyFill="1" applyAlignment="1">
      <alignment horizontal="center" vertical="distributed" wrapText="1"/>
    </xf>
    <xf numFmtId="2" fontId="4" fillId="2" borderId="5" xfId="3" applyNumberFormat="1" applyFont="1" applyFill="1" applyBorder="1" applyAlignment="1">
      <alignment horizontal="center" vertical="distributed" wrapText="1"/>
    </xf>
    <xf numFmtId="2" fontId="4" fillId="2" borderId="17" xfId="3" applyNumberFormat="1" applyFont="1" applyFill="1" applyBorder="1" applyAlignment="1">
      <alignment horizontal="center" vertical="center" wrapText="1"/>
    </xf>
    <xf numFmtId="43" fontId="4" fillId="2" borderId="35" xfId="1" applyFont="1" applyFill="1" applyBorder="1" applyAlignment="1">
      <alignment horizontal="center" vertical="distributed" wrapText="1"/>
    </xf>
    <xf numFmtId="2" fontId="4" fillId="2" borderId="16" xfId="3" applyNumberFormat="1" applyFont="1" applyFill="1" applyBorder="1" applyAlignment="1">
      <alignment horizontal="center" vertical="distributed" wrapText="1"/>
    </xf>
    <xf numFmtId="2" fontId="4" fillId="2" borderId="33" xfId="3" applyNumberFormat="1" applyFont="1" applyFill="1" applyBorder="1" applyAlignment="1">
      <alignment horizontal="center" vertical="center" wrapText="1"/>
    </xf>
    <xf numFmtId="1" fontId="4" fillId="0" borderId="33" xfId="3" applyNumberFormat="1" applyFont="1" applyBorder="1" applyAlignment="1">
      <alignment horizontal="left" vertical="center" wrapText="1"/>
    </xf>
    <xf numFmtId="2" fontId="4" fillId="0" borderId="21" xfId="3" applyNumberFormat="1" applyFont="1" applyBorder="1" applyAlignment="1">
      <alignment horizontal="center" vertical="center" wrapText="1"/>
    </xf>
    <xf numFmtId="0" fontId="4" fillId="0" borderId="21" xfId="1" applyNumberFormat="1" applyFont="1" applyFill="1" applyBorder="1" applyAlignment="1">
      <alignment horizontal="center" vertical="center" wrapText="1"/>
    </xf>
    <xf numFmtId="174" fontId="4" fillId="0" borderId="21" xfId="3" applyNumberFormat="1" applyFont="1" applyBorder="1" applyAlignment="1">
      <alignment horizontal="center" vertical="center" wrapText="1"/>
    </xf>
    <xf numFmtId="176" fontId="4" fillId="0" borderId="21" xfId="3" applyNumberFormat="1" applyFont="1" applyBorder="1" applyAlignment="1">
      <alignment horizontal="center" vertical="center" wrapText="1"/>
    </xf>
    <xf numFmtId="174" fontId="4" fillId="0" borderId="21" xfId="3" applyNumberFormat="1" applyFont="1" applyBorder="1" applyAlignment="1">
      <alignment horizontal="right" vertical="center" wrapText="1"/>
    </xf>
    <xf numFmtId="2" fontId="41" fillId="0" borderId="23" xfId="3" applyNumberFormat="1" applyFont="1" applyBorder="1" applyAlignment="1">
      <alignment horizontal="center" vertical="center" wrapText="1"/>
    </xf>
    <xf numFmtId="1" fontId="4" fillId="2" borderId="31" xfId="3" applyNumberFormat="1" applyFont="1" applyFill="1" applyBorder="1" applyAlignment="1">
      <alignment horizontal="center" vertical="center" wrapText="1"/>
    </xf>
    <xf numFmtId="2" fontId="4" fillId="2" borderId="31" xfId="3" applyNumberFormat="1" applyFont="1" applyFill="1" applyBorder="1" applyAlignment="1">
      <alignment horizontal="center" vertical="center" wrapText="1"/>
    </xf>
    <xf numFmtId="2" fontId="4" fillId="0" borderId="31" xfId="3" applyNumberFormat="1" applyFont="1" applyBorder="1" applyAlignment="1">
      <alignment horizontal="center" vertical="center" wrapText="1"/>
    </xf>
    <xf numFmtId="1" fontId="4" fillId="2" borderId="23" xfId="3" applyNumberFormat="1" applyFont="1" applyFill="1" applyBorder="1" applyAlignment="1">
      <alignment horizontal="center" vertical="center" wrapText="1"/>
    </xf>
    <xf numFmtId="2" fontId="4" fillId="0" borderId="23" xfId="3" applyNumberFormat="1" applyFont="1" applyBorder="1" applyAlignment="1">
      <alignment horizontal="center" vertical="center" wrapText="1"/>
    </xf>
    <xf numFmtId="0" fontId="4" fillId="2" borderId="33" xfId="3" applyFont="1" applyFill="1" applyBorder="1" applyAlignment="1">
      <alignment horizontal="left" vertical="distributed" wrapText="1"/>
    </xf>
    <xf numFmtId="0" fontId="4" fillId="2" borderId="14" xfId="3" applyFont="1" applyFill="1" applyBorder="1" applyAlignment="1">
      <alignment horizontal="center" vertical="center" wrapText="1"/>
    </xf>
    <xf numFmtId="0" fontId="41" fillId="2" borderId="14" xfId="3" applyFont="1" applyFill="1" applyBorder="1" applyAlignment="1">
      <alignment horizontal="center" vertical="center" wrapText="1"/>
    </xf>
    <xf numFmtId="0" fontId="39" fillId="0" borderId="18" xfId="3" applyFont="1" applyBorder="1" applyAlignment="1">
      <alignment wrapText="1"/>
    </xf>
    <xf numFmtId="0" fontId="39" fillId="0" borderId="19" xfId="3" applyFont="1" applyBorder="1" applyAlignment="1">
      <alignment horizontal="center" wrapText="1"/>
    </xf>
    <xf numFmtId="1" fontId="4" fillId="2" borderId="14" xfId="3" applyNumberFormat="1" applyFont="1" applyFill="1" applyBorder="1" applyAlignment="1">
      <alignment horizontal="center" vertical="center" wrapText="1"/>
    </xf>
    <xf numFmtId="2" fontId="4" fillId="2" borderId="30" xfId="3" applyNumberFormat="1" applyFont="1" applyFill="1" applyBorder="1" applyAlignment="1">
      <alignment horizontal="center" vertical="center" wrapText="1"/>
    </xf>
    <xf numFmtId="0" fontId="4" fillId="2" borderId="30" xfId="3" applyFont="1" applyFill="1" applyBorder="1" applyAlignment="1">
      <alignment horizontal="center" vertical="center" wrapText="1"/>
    </xf>
    <xf numFmtId="1" fontId="3" fillId="7" borderId="7" xfId="3" applyNumberFormat="1" applyFont="1" applyFill="1" applyBorder="1" applyAlignment="1">
      <alignment horizontal="center" vertical="center" wrapText="1"/>
    </xf>
    <xf numFmtId="0" fontId="3" fillId="7" borderId="9" xfId="0" applyFont="1" applyFill="1" applyBorder="1" applyAlignment="1">
      <alignment vertical="center"/>
    </xf>
    <xf numFmtId="0" fontId="3" fillId="7" borderId="9" xfId="0" applyFont="1" applyFill="1" applyBorder="1" applyAlignment="1">
      <alignment horizontal="center" vertical="center"/>
    </xf>
    <xf numFmtId="1" fontId="46" fillId="7" borderId="9" xfId="0" applyNumberFormat="1" applyFont="1" applyFill="1" applyBorder="1" applyAlignment="1">
      <alignment horizontal="right" vertical="center"/>
    </xf>
    <xf numFmtId="165" fontId="46" fillId="7" borderId="9" xfId="0" applyNumberFormat="1" applyFont="1" applyFill="1" applyBorder="1" applyAlignment="1">
      <alignment horizontal="right" vertical="center"/>
    </xf>
    <xf numFmtId="1" fontId="46" fillId="7" borderId="10" xfId="0" applyNumberFormat="1" applyFont="1" applyFill="1" applyBorder="1" applyAlignment="1">
      <alignment horizontal="center" vertical="center"/>
    </xf>
    <xf numFmtId="0" fontId="22" fillId="7" borderId="0" xfId="0" applyFont="1" applyFill="1" applyAlignment="1">
      <alignment vertical="center"/>
    </xf>
    <xf numFmtId="1" fontId="3" fillId="4" borderId="7" xfId="3" applyNumberFormat="1" applyFont="1" applyFill="1" applyBorder="1" applyAlignment="1">
      <alignment horizontal="center" vertical="center" wrapText="1"/>
    </xf>
    <xf numFmtId="0" fontId="3" fillId="4" borderId="9" xfId="0" applyFont="1" applyFill="1" applyBorder="1" applyAlignment="1">
      <alignment vertical="center"/>
    </xf>
    <xf numFmtId="0" fontId="3" fillId="4" borderId="9" xfId="0" applyFont="1" applyFill="1" applyBorder="1" applyAlignment="1">
      <alignment horizontal="center" vertical="center"/>
    </xf>
    <xf numFmtId="1" fontId="4" fillId="4" borderId="9" xfId="0" applyNumberFormat="1" applyFont="1" applyFill="1" applyBorder="1" applyAlignment="1">
      <alignment vertical="center"/>
    </xf>
    <xf numFmtId="0" fontId="4" fillId="4" borderId="9" xfId="0" applyFont="1" applyFill="1" applyBorder="1" applyAlignment="1">
      <alignment vertical="center"/>
    </xf>
    <xf numFmtId="0" fontId="4" fillId="4" borderId="2" xfId="0" applyFont="1" applyFill="1" applyBorder="1" applyAlignment="1">
      <alignment vertical="center"/>
    </xf>
    <xf numFmtId="1" fontId="46" fillId="4" borderId="2" xfId="0" applyNumberFormat="1" applyFont="1" applyFill="1" applyBorder="1" applyAlignment="1">
      <alignment horizontal="right" vertical="center"/>
    </xf>
    <xf numFmtId="165" fontId="46" fillId="4" borderId="2" xfId="0" applyNumberFormat="1" applyFont="1" applyFill="1" applyBorder="1" applyAlignment="1">
      <alignment horizontal="right" vertical="center"/>
    </xf>
    <xf numFmtId="1" fontId="46" fillId="4" borderId="3" xfId="0" applyNumberFormat="1" applyFont="1" applyFill="1" applyBorder="1" applyAlignment="1">
      <alignment horizontal="center" vertical="center"/>
    </xf>
    <xf numFmtId="0" fontId="4" fillId="0" borderId="13" xfId="3" applyFont="1" applyBorder="1" applyAlignment="1">
      <alignment horizontal="center" vertical="center" wrapText="1"/>
    </xf>
    <xf numFmtId="176" fontId="4" fillId="2" borderId="15" xfId="3" applyNumberFormat="1" applyFont="1" applyFill="1" applyBorder="1" applyAlignment="1">
      <alignment horizontal="center" vertical="center" wrapText="1"/>
    </xf>
    <xf numFmtId="176" fontId="4" fillId="2" borderId="15" xfId="3" applyNumberFormat="1" applyFont="1" applyFill="1" applyBorder="1" applyAlignment="1">
      <alignment horizontal="center" vertical="distributed" wrapText="1"/>
    </xf>
    <xf numFmtId="176" fontId="4" fillId="2" borderId="23" xfId="3" applyNumberFormat="1" applyFont="1" applyFill="1" applyBorder="1" applyAlignment="1">
      <alignment horizontal="center" vertical="center" wrapText="1"/>
    </xf>
    <xf numFmtId="1" fontId="4" fillId="2" borderId="37" xfId="3" applyNumberFormat="1" applyFont="1" applyFill="1" applyBorder="1" applyAlignment="1">
      <alignment horizontal="right" vertical="center" wrapText="1"/>
    </xf>
    <xf numFmtId="1" fontId="4" fillId="2" borderId="38" xfId="3" applyNumberFormat="1" applyFont="1" applyFill="1" applyBorder="1" applyAlignment="1">
      <alignment horizontal="center" vertical="center" wrapText="1"/>
    </xf>
    <xf numFmtId="2" fontId="4" fillId="2" borderId="39" xfId="3" applyNumberFormat="1" applyFont="1" applyFill="1" applyBorder="1" applyAlignment="1">
      <alignment horizontal="left" vertical="center" wrapText="1"/>
    </xf>
    <xf numFmtId="2" fontId="43" fillId="5" borderId="10" xfId="3" applyNumberFormat="1" applyFont="1" applyFill="1" applyBorder="1" applyAlignment="1">
      <alignment horizontal="center" vertical="distributed" wrapText="1"/>
    </xf>
    <xf numFmtId="165" fontId="43" fillId="5" borderId="10" xfId="3" applyNumberFormat="1" applyFont="1" applyFill="1" applyBorder="1" applyAlignment="1">
      <alignment horizontal="center" vertical="center" wrapText="1"/>
    </xf>
    <xf numFmtId="2" fontId="4" fillId="0" borderId="12" xfId="3" applyNumberFormat="1" applyFont="1" applyBorder="1" applyAlignment="1">
      <alignment horizontal="center" vertical="center" wrapText="1"/>
    </xf>
    <xf numFmtId="2" fontId="4" fillId="0" borderId="12" xfId="3" applyNumberFormat="1" applyFont="1" applyBorder="1" applyAlignment="1">
      <alignment horizontal="center" vertical="distributed" wrapText="1"/>
    </xf>
    <xf numFmtId="49" fontId="4" fillId="0" borderId="23" xfId="12" applyNumberFormat="1" applyFont="1" applyBorder="1" applyAlignment="1">
      <alignment horizontal="center" vertical="center" wrapText="1"/>
    </xf>
    <xf numFmtId="0" fontId="41" fillId="0" borderId="23" xfId="3" applyFont="1" applyBorder="1" applyAlignment="1">
      <alignment horizontal="left" vertical="distributed" wrapText="1"/>
    </xf>
    <xf numFmtId="165" fontId="2" fillId="2" borderId="36" xfId="3" applyNumberFormat="1" applyFill="1" applyBorder="1" applyAlignment="1">
      <alignment horizontal="right"/>
    </xf>
    <xf numFmtId="0" fontId="2" fillId="2" borderId="36" xfId="3" applyFill="1" applyBorder="1"/>
    <xf numFmtId="0" fontId="36" fillId="2" borderId="18" xfId="0" applyFont="1" applyFill="1" applyBorder="1" applyAlignment="1">
      <alignment vertical="center" wrapText="1"/>
    </xf>
    <xf numFmtId="0" fontId="4" fillId="0" borderId="3" xfId="3" applyFont="1" applyBorder="1" applyAlignment="1">
      <alignment horizontal="center" vertical="center" wrapText="1"/>
    </xf>
    <xf numFmtId="0" fontId="24" fillId="0" borderId="0" xfId="0" applyFont="1" applyAlignment="1">
      <alignment vertical="center"/>
    </xf>
    <xf numFmtId="1" fontId="3" fillId="0" borderId="17" xfId="0" applyNumberFormat="1" applyFont="1" applyBorder="1" applyAlignment="1">
      <alignment vertical="center" wrapText="1"/>
    </xf>
    <xf numFmtId="0" fontId="4" fillId="2" borderId="17" xfId="3" applyFont="1" applyFill="1" applyBorder="1" applyAlignment="1">
      <alignment horizontal="left" vertical="distributed"/>
    </xf>
    <xf numFmtId="2" fontId="39" fillId="2" borderId="37" xfId="1" applyNumberFormat="1" applyFont="1" applyFill="1" applyBorder="1" applyAlignment="1">
      <alignment horizontal="center" vertical="center" wrapText="1"/>
    </xf>
    <xf numFmtId="1" fontId="36" fillId="4" borderId="7" xfId="3" applyNumberFormat="1" applyFont="1" applyFill="1" applyBorder="1" applyAlignment="1">
      <alignment horizontal="center" vertical="center" wrapText="1"/>
    </xf>
    <xf numFmtId="2" fontId="4" fillId="2" borderId="12" xfId="3" applyNumberFormat="1" applyFont="1" applyFill="1" applyBorder="1" applyAlignment="1">
      <alignment horizontal="center" vertical="center" wrapText="1"/>
    </xf>
    <xf numFmtId="2" fontId="4" fillId="2" borderId="15" xfId="3" applyNumberFormat="1" applyFont="1" applyFill="1" applyBorder="1" applyAlignment="1">
      <alignment horizontal="center" vertical="center" wrapText="1"/>
    </xf>
    <xf numFmtId="0" fontId="3" fillId="4" borderId="9" xfId="0" applyFont="1" applyFill="1" applyBorder="1" applyAlignment="1">
      <alignment horizontal="left" vertical="center"/>
    </xf>
    <xf numFmtId="2" fontId="4" fillId="2" borderId="12" xfId="3" applyNumberFormat="1" applyFont="1" applyFill="1" applyBorder="1" applyAlignment="1">
      <alignment horizontal="center" vertical="distributed" wrapText="1"/>
    </xf>
    <xf numFmtId="1" fontId="3" fillId="2" borderId="31" xfId="3" applyNumberFormat="1" applyFont="1" applyFill="1" applyBorder="1" applyAlignment="1">
      <alignment horizontal="center" vertical="center" wrapText="1"/>
    </xf>
    <xf numFmtId="1" fontId="3" fillId="2" borderId="33" xfId="3" applyNumberFormat="1" applyFont="1" applyFill="1" applyBorder="1" applyAlignment="1">
      <alignment horizontal="center" vertical="center" wrapText="1"/>
    </xf>
    <xf numFmtId="2" fontId="4" fillId="2" borderId="32" xfId="3" applyNumberFormat="1" applyFont="1" applyFill="1" applyBorder="1" applyAlignment="1">
      <alignment horizontal="center" vertical="center" wrapText="1"/>
    </xf>
    <xf numFmtId="2" fontId="4" fillId="2" borderId="40" xfId="3" applyNumberFormat="1" applyFont="1" applyFill="1" applyBorder="1" applyAlignment="1">
      <alignment horizontal="center" vertical="center" wrapText="1"/>
    </xf>
    <xf numFmtId="2" fontId="4" fillId="2" borderId="40" xfId="3" applyNumberFormat="1" applyFont="1" applyFill="1" applyBorder="1" applyAlignment="1">
      <alignment horizontal="center" vertical="distributed" wrapText="1"/>
    </xf>
    <xf numFmtId="2" fontId="4" fillId="0" borderId="33" xfId="3" applyNumberFormat="1" applyFont="1" applyBorder="1" applyAlignment="1">
      <alignment horizontal="center" vertical="center" wrapText="1"/>
    </xf>
    <xf numFmtId="174" fontId="4" fillId="2" borderId="40" xfId="3" applyNumberFormat="1" applyFont="1" applyFill="1" applyBorder="1" applyAlignment="1">
      <alignment horizontal="center" vertical="center" wrapText="1"/>
    </xf>
    <xf numFmtId="165" fontId="4" fillId="2" borderId="33" xfId="3" applyNumberFormat="1" applyFont="1" applyFill="1" applyBorder="1" applyAlignment="1">
      <alignment horizontal="right" vertical="center" wrapText="1"/>
    </xf>
    <xf numFmtId="174" fontId="4" fillId="2" borderId="15" xfId="3" applyNumberFormat="1" applyFont="1" applyFill="1" applyBorder="1" applyAlignment="1">
      <alignment horizontal="center" vertical="center" wrapText="1"/>
    </xf>
    <xf numFmtId="0" fontId="4" fillId="2" borderId="32" xfId="3" applyFont="1" applyFill="1" applyBorder="1" applyAlignment="1">
      <alignment horizontal="center" vertical="center" wrapText="1"/>
    </xf>
    <xf numFmtId="0" fontId="4" fillId="2" borderId="33" xfId="3" applyFont="1" applyFill="1" applyBorder="1" applyAlignment="1">
      <alignment horizontal="center" vertical="top" wrapText="1"/>
    </xf>
    <xf numFmtId="0" fontId="47" fillId="2" borderId="23" xfId="3" applyFont="1" applyFill="1" applyBorder="1" applyAlignment="1">
      <alignment horizontal="center" vertical="distributed" wrapText="1"/>
    </xf>
    <xf numFmtId="0" fontId="47" fillId="2" borderId="17" xfId="3" applyFont="1" applyFill="1" applyBorder="1" applyAlignment="1">
      <alignment horizontal="center" vertical="distributed" wrapText="1"/>
    </xf>
    <xf numFmtId="0" fontId="4" fillId="0" borderId="23" xfId="12" applyFont="1" applyBorder="1" applyAlignment="1">
      <alignment horizontal="left" vertical="center" wrapText="1"/>
    </xf>
    <xf numFmtId="2" fontId="4" fillId="0" borderId="14" xfId="3" applyNumberFormat="1" applyFont="1" applyBorder="1" applyAlignment="1">
      <alignment horizontal="center" vertical="center" wrapText="1"/>
    </xf>
    <xf numFmtId="2" fontId="4" fillId="0" borderId="15" xfId="3" applyNumberFormat="1" applyFont="1" applyBorder="1" applyAlignment="1">
      <alignment horizontal="center" vertical="center" wrapText="1"/>
    </xf>
    <xf numFmtId="2" fontId="4" fillId="0" borderId="16" xfId="3" applyNumberFormat="1" applyFont="1" applyBorder="1" applyAlignment="1">
      <alignment horizontal="center" vertical="center" wrapText="1"/>
    </xf>
    <xf numFmtId="0" fontId="4" fillId="0" borderId="33" xfId="1" applyNumberFormat="1" applyFont="1" applyFill="1" applyBorder="1" applyAlignment="1">
      <alignment horizontal="center" vertical="center" wrapText="1"/>
    </xf>
    <xf numFmtId="43" fontId="4" fillId="0" borderId="30" xfId="1" applyFont="1" applyFill="1" applyBorder="1" applyAlignment="1">
      <alignment horizontal="center" vertical="center" wrapText="1"/>
    </xf>
    <xf numFmtId="2" fontId="4" fillId="0" borderId="40" xfId="1" applyNumberFormat="1" applyFont="1" applyFill="1" applyBorder="1" applyAlignment="1">
      <alignment horizontal="center" vertical="center" wrapText="1"/>
    </xf>
    <xf numFmtId="0" fontId="4" fillId="0" borderId="32" xfId="1" applyNumberFormat="1" applyFont="1" applyFill="1" applyBorder="1" applyAlignment="1">
      <alignment horizontal="center" vertical="center" wrapText="1"/>
    </xf>
    <xf numFmtId="174" fontId="4" fillId="0" borderId="33" xfId="3" applyNumberFormat="1" applyFont="1" applyBorder="1" applyAlignment="1">
      <alignment horizontal="right" vertical="center" wrapText="1"/>
    </xf>
    <xf numFmtId="43" fontId="4" fillId="0" borderId="23" xfId="1" applyFont="1" applyFill="1" applyBorder="1" applyAlignment="1">
      <alignment horizontal="center" vertical="center" wrapText="1"/>
    </xf>
    <xf numFmtId="171" fontId="4" fillId="0" borderId="33" xfId="3" applyNumberFormat="1" applyFont="1" applyBorder="1" applyAlignment="1">
      <alignment horizontal="center" vertical="center" wrapText="1"/>
    </xf>
    <xf numFmtId="0" fontId="4" fillId="0" borderId="33" xfId="3" applyFont="1" applyBorder="1" applyAlignment="1">
      <alignment horizontal="left" vertical="distributed" wrapText="1"/>
    </xf>
    <xf numFmtId="0" fontId="4" fillId="0" borderId="23" xfId="1" applyNumberFormat="1" applyFont="1" applyFill="1" applyBorder="1" applyAlignment="1">
      <alignment horizontal="center" vertical="center" wrapText="1"/>
    </xf>
    <xf numFmtId="0" fontId="4" fillId="0" borderId="20" xfId="12" applyFont="1" applyBorder="1" applyAlignment="1">
      <alignment horizontal="left" vertical="center" wrapText="1"/>
    </xf>
    <xf numFmtId="2" fontId="4" fillId="0" borderId="2" xfId="3" applyNumberFormat="1" applyFont="1" applyBorder="1" applyAlignment="1">
      <alignment vertical="center" wrapText="1"/>
    </xf>
    <xf numFmtId="0" fontId="4" fillId="0" borderId="21" xfId="3" applyFont="1" applyBorder="1" applyAlignment="1">
      <alignment horizontal="left" vertical="distributed" wrapText="1"/>
    </xf>
    <xf numFmtId="2" fontId="4" fillId="0" borderId="14" xfId="3" applyNumberFormat="1" applyFont="1" applyBorder="1" applyAlignment="1">
      <alignment vertical="center" wrapText="1"/>
    </xf>
    <xf numFmtId="2" fontId="4" fillId="0" borderId="15" xfId="3" applyNumberFormat="1" applyFont="1" applyBorder="1" applyAlignment="1">
      <alignment vertical="center" wrapText="1"/>
    </xf>
    <xf numFmtId="2" fontId="4" fillId="0" borderId="16" xfId="3" applyNumberFormat="1" applyFont="1" applyBorder="1" applyAlignment="1">
      <alignment vertical="center" wrapText="1"/>
    </xf>
    <xf numFmtId="2" fontId="4" fillId="0" borderId="23" xfId="3" applyNumberFormat="1" applyFont="1" applyBorder="1" applyAlignment="1">
      <alignment vertical="center" wrapText="1"/>
    </xf>
    <xf numFmtId="2" fontId="4" fillId="0" borderId="23" xfId="1" applyNumberFormat="1" applyFont="1" applyFill="1" applyBorder="1" applyAlignment="1">
      <alignment horizontal="center" vertical="center" wrapText="1"/>
    </xf>
    <xf numFmtId="174" fontId="4" fillId="0" borderId="23" xfId="3" applyNumberFormat="1" applyFont="1" applyBorder="1" applyAlignment="1">
      <alignment horizontal="right" vertical="center" wrapText="1"/>
    </xf>
    <xf numFmtId="0" fontId="4" fillId="0" borderId="33" xfId="12" applyFont="1" applyBorder="1" applyAlignment="1">
      <alignment horizontal="left" vertical="center" wrapText="1"/>
    </xf>
    <xf numFmtId="1" fontId="3" fillId="2" borderId="31" xfId="0" applyNumberFormat="1" applyFont="1" applyFill="1" applyBorder="1" applyAlignment="1">
      <alignment vertical="center" wrapText="1"/>
    </xf>
    <xf numFmtId="0" fontId="4" fillId="0" borderId="1" xfId="3" applyFont="1" applyBorder="1" applyAlignment="1">
      <alignment wrapText="1"/>
    </xf>
    <xf numFmtId="1" fontId="3" fillId="2" borderId="34" xfId="0" applyNumberFormat="1" applyFont="1" applyFill="1" applyBorder="1" applyAlignment="1">
      <alignment vertical="center" wrapText="1"/>
    </xf>
    <xf numFmtId="2" fontId="4" fillId="2" borderId="21" xfId="3" applyNumberFormat="1" applyFont="1" applyFill="1" applyBorder="1" applyAlignment="1">
      <alignment horizontal="right" vertical="center" wrapText="1"/>
    </xf>
    <xf numFmtId="2" fontId="4" fillId="2" borderId="15" xfId="3" applyNumberFormat="1" applyFont="1" applyFill="1" applyBorder="1" applyAlignment="1">
      <alignment horizontal="center" vertical="distributed" wrapText="1"/>
    </xf>
    <xf numFmtId="2" fontId="4" fillId="2" borderId="20" xfId="3" applyNumberFormat="1" applyFont="1" applyFill="1" applyBorder="1" applyAlignment="1">
      <alignment horizontal="center" vertical="center" wrapText="1"/>
    </xf>
    <xf numFmtId="43" fontId="4" fillId="2" borderId="30" xfId="3" applyNumberFormat="1" applyFont="1" applyFill="1" applyBorder="1" applyAlignment="1">
      <alignment horizontal="right" vertical="center" wrapText="1"/>
    </xf>
    <xf numFmtId="43" fontId="4" fillId="2" borderId="40" xfId="3" applyNumberFormat="1" applyFont="1" applyFill="1" applyBorder="1" applyAlignment="1">
      <alignment horizontal="center" vertical="center" wrapText="1"/>
    </xf>
    <xf numFmtId="2" fontId="4" fillId="2" borderId="0" xfId="3" applyNumberFormat="1" applyFont="1" applyFill="1" applyAlignment="1">
      <alignment horizontal="center" vertical="center" wrapText="1"/>
    </xf>
    <xf numFmtId="2" fontId="41" fillId="2" borderId="13" xfId="3" applyNumberFormat="1" applyFont="1" applyFill="1" applyBorder="1" applyAlignment="1">
      <alignment horizontal="center" vertical="distributed" wrapText="1"/>
    </xf>
    <xf numFmtId="171" fontId="4" fillId="2" borderId="23" xfId="3" applyNumberFormat="1" applyFont="1" applyFill="1" applyBorder="1" applyAlignment="1">
      <alignment horizontal="left" vertical="top" wrapText="1"/>
    </xf>
    <xf numFmtId="165" fontId="2" fillId="2" borderId="20" xfId="3" applyNumberFormat="1" applyFill="1" applyBorder="1" applyAlignment="1">
      <alignment horizontal="right"/>
    </xf>
    <xf numFmtId="0" fontId="2" fillId="2" borderId="20" xfId="3" applyFill="1" applyBorder="1"/>
    <xf numFmtId="165" fontId="2" fillId="2" borderId="26" xfId="3" applyNumberFormat="1" applyFill="1" applyBorder="1" applyAlignment="1">
      <alignment horizontal="right"/>
    </xf>
    <xf numFmtId="0" fontId="2" fillId="2" borderId="17" xfId="3" applyFill="1" applyBorder="1"/>
    <xf numFmtId="0" fontId="24" fillId="0" borderId="0" xfId="0" applyFont="1" applyAlignment="1">
      <alignment horizontal="center" vertical="center"/>
    </xf>
    <xf numFmtId="1" fontId="24" fillId="2" borderId="0" xfId="0" applyNumberFormat="1" applyFont="1" applyFill="1" applyAlignment="1">
      <alignment horizontal="right" vertical="center"/>
    </xf>
    <xf numFmtId="0" fontId="24" fillId="2" borderId="0" xfId="0" applyFont="1" applyFill="1" applyAlignment="1">
      <alignment horizontal="center" vertical="center"/>
    </xf>
    <xf numFmtId="2" fontId="24" fillId="2" borderId="0" xfId="0" applyNumberFormat="1" applyFont="1" applyFill="1" applyAlignment="1">
      <alignment horizontal="left" vertical="center"/>
    </xf>
    <xf numFmtId="4" fontId="24" fillId="2" borderId="0" xfId="0" applyNumberFormat="1" applyFont="1" applyFill="1" applyAlignment="1">
      <alignment vertical="center"/>
    </xf>
    <xf numFmtId="0" fontId="24" fillId="2" borderId="0" xfId="14" applyNumberFormat="1" applyFont="1" applyFill="1" applyBorder="1" applyAlignment="1">
      <alignment vertical="center"/>
    </xf>
    <xf numFmtId="0" fontId="49" fillId="2" borderId="0" xfId="15" applyNumberFormat="1" applyFont="1" applyFill="1" applyBorder="1" applyAlignment="1">
      <alignment vertical="center"/>
    </xf>
    <xf numFmtId="0" fontId="24" fillId="2" borderId="0" xfId="0" applyFont="1" applyFill="1" applyAlignment="1">
      <alignment horizontal="right" vertical="center"/>
    </xf>
    <xf numFmtId="0" fontId="24" fillId="0" borderId="4" xfId="0" applyFont="1" applyBorder="1" applyAlignment="1">
      <alignment horizontal="center" vertical="center"/>
    </xf>
    <xf numFmtId="0" fontId="24" fillId="2" borderId="41" xfId="0" applyFont="1" applyFill="1" applyBorder="1" applyAlignment="1">
      <alignment vertical="center"/>
    </xf>
    <xf numFmtId="1" fontId="24" fillId="2" borderId="41" xfId="0" applyNumberFormat="1" applyFont="1" applyFill="1" applyBorder="1" applyAlignment="1">
      <alignment horizontal="right" vertical="center"/>
    </xf>
    <xf numFmtId="0" fontId="24" fillId="2" borderId="42" xfId="0" applyFont="1" applyFill="1" applyBorder="1" applyAlignment="1">
      <alignment vertical="center"/>
    </xf>
    <xf numFmtId="4" fontId="24" fillId="2" borderId="42" xfId="0" applyNumberFormat="1" applyFont="1" applyFill="1" applyBorder="1" applyAlignment="1">
      <alignment vertical="center"/>
    </xf>
    <xf numFmtId="165" fontId="24" fillId="2" borderId="42" xfId="0" applyNumberFormat="1" applyFont="1" applyFill="1" applyBorder="1" applyAlignment="1">
      <alignment vertical="center"/>
    </xf>
    <xf numFmtId="0" fontId="24" fillId="2" borderId="41" xfId="0" applyFont="1" applyFill="1" applyBorder="1" applyAlignment="1">
      <alignment horizontal="center" vertical="center"/>
    </xf>
    <xf numFmtId="0" fontId="49" fillId="2" borderId="43" xfId="15" applyNumberFormat="1" applyFont="1" applyFill="1" applyBorder="1" applyAlignment="1">
      <alignment vertical="center"/>
    </xf>
    <xf numFmtId="2" fontId="39" fillId="2" borderId="14" xfId="3" applyNumberFormat="1" applyFont="1" applyFill="1" applyBorder="1" applyAlignment="1">
      <alignment horizontal="center" vertical="center" wrapText="1"/>
    </xf>
    <xf numFmtId="2" fontId="39" fillId="2" borderId="16" xfId="3" applyNumberFormat="1" applyFont="1" applyFill="1" applyBorder="1" applyAlignment="1">
      <alignment horizontal="center" vertical="center" wrapText="1"/>
    </xf>
    <xf numFmtId="2" fontId="39" fillId="2" borderId="32" xfId="3" applyNumberFormat="1" applyFont="1" applyFill="1" applyBorder="1" applyAlignment="1">
      <alignment horizontal="center" vertical="distributed" wrapText="1"/>
    </xf>
    <xf numFmtId="2" fontId="39" fillId="2" borderId="30" xfId="3" applyNumberFormat="1" applyFont="1" applyFill="1" applyBorder="1" applyAlignment="1">
      <alignment horizontal="center" vertical="distributed" wrapText="1"/>
    </xf>
    <xf numFmtId="2" fontId="39" fillId="2" borderId="23" xfId="3" applyNumberFormat="1" applyFont="1" applyFill="1" applyBorder="1" applyAlignment="1">
      <alignment horizontal="center" vertical="center" wrapText="1"/>
    </xf>
    <xf numFmtId="0" fontId="39" fillId="2" borderId="23" xfId="3" applyFont="1" applyFill="1" applyBorder="1" applyAlignment="1">
      <alignment horizontal="left" vertical="distributed" wrapText="1"/>
    </xf>
    <xf numFmtId="1" fontId="36" fillId="2" borderId="20" xfId="3" applyNumberFormat="1" applyFont="1" applyFill="1" applyBorder="1" applyAlignment="1">
      <alignment horizontal="center" vertical="center" wrapText="1"/>
    </xf>
    <xf numFmtId="2" fontId="39" fillId="2" borderId="14" xfId="3" applyNumberFormat="1" applyFont="1" applyFill="1" applyBorder="1" applyAlignment="1">
      <alignment horizontal="center" vertical="distributed" wrapText="1"/>
    </xf>
    <xf numFmtId="2" fontId="39" fillId="2" borderId="16" xfId="3" applyNumberFormat="1" applyFont="1" applyFill="1" applyBorder="1" applyAlignment="1">
      <alignment horizontal="center" vertical="distributed" wrapText="1"/>
    </xf>
    <xf numFmtId="165" fontId="39" fillId="2" borderId="23" xfId="3" applyNumberFormat="1" applyFont="1" applyFill="1" applyBorder="1" applyAlignment="1">
      <alignment horizontal="right" vertical="center" wrapText="1"/>
    </xf>
    <xf numFmtId="0" fontId="5" fillId="6" borderId="0" xfId="3" applyFont="1" applyFill="1"/>
    <xf numFmtId="0" fontId="23" fillId="2" borderId="0" xfId="0" applyFont="1" applyFill="1" applyAlignment="1">
      <alignment vertical="center"/>
    </xf>
    <xf numFmtId="0" fontId="20" fillId="2" borderId="0" xfId="3" applyFont="1" applyFill="1"/>
    <xf numFmtId="43" fontId="39" fillId="2" borderId="14" xfId="1" applyFont="1" applyFill="1" applyBorder="1" applyAlignment="1">
      <alignment horizontal="center" vertical="center" wrapText="1"/>
    </xf>
    <xf numFmtId="43" fontId="39" fillId="2" borderId="16" xfId="1" applyFont="1" applyFill="1" applyBorder="1" applyAlignment="1">
      <alignment horizontal="center" vertical="center" wrapText="1"/>
    </xf>
    <xf numFmtId="43" fontId="39" fillId="2" borderId="15" xfId="1" applyFont="1" applyFill="1" applyBorder="1" applyAlignment="1">
      <alignment horizontal="center" vertical="center" wrapText="1"/>
    </xf>
    <xf numFmtId="43" fontId="39" fillId="2" borderId="16" xfId="1" applyFont="1" applyFill="1" applyBorder="1" applyAlignment="1">
      <alignment horizontal="center" vertical="distributed" wrapText="1"/>
    </xf>
    <xf numFmtId="0" fontId="39" fillId="0" borderId="23" xfId="3" applyFont="1" applyBorder="1" applyAlignment="1">
      <alignment horizontal="center" vertical="center" wrapText="1"/>
    </xf>
    <xf numFmtId="2" fontId="39" fillId="2" borderId="5" xfId="3" applyNumberFormat="1" applyFont="1" applyFill="1" applyBorder="1" applyAlignment="1">
      <alignment horizontal="center" vertical="center" wrapText="1"/>
    </xf>
    <xf numFmtId="1" fontId="39" fillId="0" borderId="33" xfId="3" applyNumberFormat="1" applyFont="1" applyBorder="1" applyAlignment="1">
      <alignment horizontal="left" vertical="center" wrapText="1"/>
    </xf>
    <xf numFmtId="2" fontId="39" fillId="0" borderId="32" xfId="3" applyNumberFormat="1" applyFont="1" applyBorder="1" applyAlignment="1">
      <alignment horizontal="center" vertical="center" wrapText="1"/>
    </xf>
    <xf numFmtId="2" fontId="39" fillId="0" borderId="40" xfId="3" applyNumberFormat="1" applyFont="1" applyBorder="1" applyAlignment="1">
      <alignment vertical="center" wrapText="1"/>
    </xf>
    <xf numFmtId="2" fontId="39" fillId="0" borderId="30" xfId="3" applyNumberFormat="1" applyFont="1" applyBorder="1" applyAlignment="1">
      <alignment horizontal="center" vertical="center" wrapText="1"/>
    </xf>
    <xf numFmtId="2" fontId="39" fillId="0" borderId="23" xfId="3" applyNumberFormat="1" applyFont="1" applyBorder="1" applyAlignment="1">
      <alignment horizontal="center" vertical="center" wrapText="1"/>
    </xf>
    <xf numFmtId="2" fontId="39" fillId="0" borderId="33" xfId="3" applyNumberFormat="1" applyFont="1" applyBorder="1" applyAlignment="1">
      <alignment horizontal="center" vertical="center" wrapText="1"/>
    </xf>
    <xf numFmtId="0" fontId="39" fillId="0" borderId="23" xfId="1" applyNumberFormat="1" applyFont="1" applyFill="1" applyBorder="1" applyAlignment="1">
      <alignment horizontal="center" vertical="center" wrapText="1"/>
    </xf>
    <xf numFmtId="174" fontId="39" fillId="0" borderId="23" xfId="1" applyNumberFormat="1" applyFont="1" applyFill="1" applyBorder="1" applyAlignment="1">
      <alignment horizontal="center" vertical="center" wrapText="1"/>
    </xf>
    <xf numFmtId="2" fontId="39" fillId="0" borderId="23" xfId="1" applyNumberFormat="1" applyFont="1" applyFill="1" applyBorder="1" applyAlignment="1">
      <alignment horizontal="center" vertical="center" wrapText="1"/>
    </xf>
    <xf numFmtId="174" fontId="39" fillId="0" borderId="23" xfId="3" applyNumberFormat="1" applyFont="1" applyBorder="1" applyAlignment="1">
      <alignment horizontal="right" vertical="center" wrapText="1"/>
    </xf>
    <xf numFmtId="43" fontId="39" fillId="0" borderId="23" xfId="1" applyFont="1" applyFill="1" applyBorder="1" applyAlignment="1">
      <alignment horizontal="center" vertical="center" wrapText="1"/>
    </xf>
    <xf numFmtId="1" fontId="39" fillId="0" borderId="23" xfId="12" applyNumberFormat="1" applyFont="1" applyBorder="1" applyAlignment="1">
      <alignment horizontal="left" vertical="center" wrapText="1"/>
    </xf>
    <xf numFmtId="2" fontId="39" fillId="0" borderId="14" xfId="3" applyNumberFormat="1" applyFont="1" applyBorder="1" applyAlignment="1">
      <alignment horizontal="center" vertical="center" wrapText="1"/>
    </xf>
    <xf numFmtId="0" fontId="39" fillId="0" borderId="15" xfId="3" applyFont="1" applyBorder="1" applyAlignment="1">
      <alignment horizontal="center" vertical="center" wrapText="1"/>
    </xf>
    <xf numFmtId="2" fontId="39" fillId="0" borderId="16" xfId="3" applyNumberFormat="1" applyFont="1" applyBorder="1" applyAlignment="1">
      <alignment horizontal="center" vertical="center" wrapText="1"/>
    </xf>
    <xf numFmtId="0" fontId="39" fillId="0" borderId="14" xfId="1" applyNumberFormat="1" applyFont="1" applyFill="1" applyBorder="1" applyAlignment="1">
      <alignment horizontal="center" vertical="center" wrapText="1"/>
    </xf>
    <xf numFmtId="171" fontId="39" fillId="0" borderId="23" xfId="3" applyNumberFormat="1" applyFont="1" applyBorder="1" applyAlignment="1">
      <alignment horizontal="center" vertical="center" wrapText="1"/>
    </xf>
    <xf numFmtId="0" fontId="39" fillId="2" borderId="20" xfId="3" applyFont="1" applyFill="1" applyBorder="1" applyAlignment="1">
      <alignment horizontal="left" vertical="distributed" wrapText="1"/>
    </xf>
    <xf numFmtId="165" fontId="20" fillId="2" borderId="0" xfId="3" applyNumberFormat="1" applyFont="1" applyFill="1" applyAlignment="1">
      <alignment horizontal="right"/>
    </xf>
    <xf numFmtId="0" fontId="4" fillId="2" borderId="40" xfId="3" applyFont="1" applyFill="1" applyBorder="1" applyAlignment="1">
      <alignment horizontal="center" vertical="center" wrapText="1"/>
    </xf>
    <xf numFmtId="43" fontId="4" fillId="2" borderId="4" xfId="1" applyFont="1" applyFill="1" applyBorder="1" applyAlignment="1">
      <alignment horizontal="center" vertical="distributed" wrapText="1"/>
    </xf>
    <xf numFmtId="0" fontId="36" fillId="2" borderId="31" xfId="3" applyFont="1" applyFill="1" applyBorder="1" applyAlignment="1">
      <alignment horizontal="center" vertical="center" wrapText="1"/>
    </xf>
    <xf numFmtId="1" fontId="36" fillId="2" borderId="31" xfId="3" applyNumberFormat="1" applyFont="1" applyFill="1" applyBorder="1" applyAlignment="1">
      <alignment horizontal="center" vertical="center" wrapText="1"/>
    </xf>
    <xf numFmtId="1" fontId="36" fillId="2" borderId="34" xfId="3" applyNumberFormat="1" applyFont="1" applyFill="1" applyBorder="1" applyAlignment="1">
      <alignment horizontal="center" vertical="center" wrapText="1"/>
    </xf>
    <xf numFmtId="169" fontId="2" fillId="0" borderId="23" xfId="8" applyNumberFormat="1" applyFill="1" applyBorder="1" applyAlignment="1">
      <alignment horizontal="center" vertical="center" wrapText="1"/>
    </xf>
    <xf numFmtId="43" fontId="2" fillId="0" borderId="23" xfId="1" applyFont="1" applyFill="1" applyBorder="1" applyAlignment="1">
      <alignment horizontal="center" vertical="center" wrapText="1"/>
    </xf>
    <xf numFmtId="4" fontId="2" fillId="0" borderId="0" xfId="0" applyNumberFormat="1" applyFont="1" applyAlignment="1">
      <alignment horizontal="center" vertical="center"/>
    </xf>
    <xf numFmtId="4" fontId="2" fillId="0" borderId="23" xfId="8" applyNumberFormat="1" applyFont="1" applyFill="1" applyBorder="1" applyAlignment="1">
      <alignment horizontal="right" vertical="center" wrapText="1"/>
    </xf>
    <xf numFmtId="43" fontId="16" fillId="0" borderId="26" xfId="7" applyNumberFormat="1" applyFont="1" applyBorder="1" applyAlignment="1">
      <alignment vertical="center"/>
    </xf>
    <xf numFmtId="43" fontId="5" fillId="0" borderId="23" xfId="1" applyFont="1" applyFill="1" applyBorder="1" applyAlignment="1">
      <alignment vertical="center"/>
    </xf>
    <xf numFmtId="168" fontId="2" fillId="0" borderId="23" xfId="8" applyFill="1" applyBorder="1" applyAlignment="1">
      <alignment horizontal="center" vertical="center" wrapText="1"/>
    </xf>
    <xf numFmtId="168" fontId="2" fillId="0" borderId="26" xfId="8" applyFill="1" applyBorder="1" applyAlignment="1">
      <alignment horizontal="center" vertical="center" wrapText="1"/>
    </xf>
    <xf numFmtId="0" fontId="18" fillId="0" borderId="23" xfId="9" applyFont="1" applyBorder="1" applyAlignment="1">
      <alignment horizontal="center" vertical="center"/>
    </xf>
    <xf numFmtId="0" fontId="18" fillId="0" borderId="33" xfId="9" applyFont="1" applyBorder="1" applyAlignment="1">
      <alignment horizontal="center" vertical="center"/>
    </xf>
    <xf numFmtId="0" fontId="30" fillId="0" borderId="26" xfId="0" applyFont="1" applyBorder="1" applyAlignment="1">
      <alignment horizontal="center" vertical="center" wrapText="1"/>
    </xf>
    <xf numFmtId="0" fontId="36" fillId="2" borderId="8" xfId="4" applyFont="1" applyFill="1" applyBorder="1" applyAlignment="1">
      <alignment vertical="center" wrapText="1"/>
    </xf>
    <xf numFmtId="0" fontId="36" fillId="2" borderId="9" xfId="4" applyFont="1" applyFill="1" applyBorder="1" applyAlignment="1">
      <alignment vertical="center" wrapText="1"/>
    </xf>
    <xf numFmtId="0" fontId="36" fillId="2" borderId="10" xfId="4" applyFont="1" applyFill="1" applyBorder="1" applyAlignment="1">
      <alignment vertical="center" wrapText="1"/>
    </xf>
    <xf numFmtId="0" fontId="36" fillId="2" borderId="31" xfId="3" applyFont="1" applyFill="1" applyBorder="1" applyAlignment="1">
      <alignment vertical="center" wrapText="1"/>
    </xf>
    <xf numFmtId="165" fontId="36" fillId="2" borderId="31" xfId="3" applyNumberFormat="1" applyFont="1" applyFill="1" applyBorder="1" applyAlignment="1">
      <alignment vertical="center" wrapText="1"/>
    </xf>
    <xf numFmtId="0" fontId="36" fillId="2" borderId="31" xfId="3" applyFont="1" applyFill="1" applyBorder="1" applyAlignment="1">
      <alignment vertical="distributed" wrapText="1"/>
    </xf>
    <xf numFmtId="1" fontId="36" fillId="2" borderId="34" xfId="3" applyNumberFormat="1" applyFont="1" applyFill="1" applyBorder="1" applyAlignment="1">
      <alignment vertical="center" wrapText="1"/>
    </xf>
    <xf numFmtId="0" fontId="36" fillId="2" borderId="8" xfId="3" applyFont="1" applyFill="1" applyBorder="1" applyAlignment="1">
      <alignment vertical="distributed" wrapText="1"/>
    </xf>
    <xf numFmtId="0" fontId="36" fillId="2" borderId="9" xfId="3" applyFont="1" applyFill="1" applyBorder="1" applyAlignment="1">
      <alignment vertical="distributed" wrapText="1"/>
    </xf>
    <xf numFmtId="0" fontId="36" fillId="2" borderId="10" xfId="3" applyFont="1" applyFill="1" applyBorder="1" applyAlignment="1">
      <alignment vertical="distributed" wrapText="1"/>
    </xf>
    <xf numFmtId="0" fontId="36" fillId="2" borderId="34" xfId="3" applyFont="1" applyFill="1" applyBorder="1" applyAlignment="1">
      <alignment vertical="center" wrapText="1"/>
    </xf>
    <xf numFmtId="165" fontId="36" fillId="2" borderId="34" xfId="3" applyNumberFormat="1" applyFont="1" applyFill="1" applyBorder="1" applyAlignment="1">
      <alignment vertical="center" wrapText="1"/>
    </xf>
    <xf numFmtId="0" fontId="36" fillId="2" borderId="34" xfId="3" applyFont="1" applyFill="1" applyBorder="1" applyAlignment="1">
      <alignment vertical="distributed" wrapText="1"/>
    </xf>
    <xf numFmtId="174" fontId="42" fillId="5" borderId="31" xfId="3" applyNumberFormat="1" applyFont="1" applyFill="1" applyBorder="1" applyAlignment="1">
      <alignment vertical="center" wrapText="1"/>
    </xf>
    <xf numFmtId="0" fontId="39" fillId="2" borderId="32" xfId="3" applyFont="1" applyFill="1" applyBorder="1" applyAlignment="1">
      <alignment horizontal="center" vertical="center" wrapText="1"/>
    </xf>
    <xf numFmtId="0" fontId="39" fillId="2" borderId="40" xfId="3" applyFont="1" applyFill="1" applyBorder="1" applyAlignment="1">
      <alignment horizontal="center" vertical="center" wrapText="1"/>
    </xf>
    <xf numFmtId="0" fontId="39" fillId="2" borderId="30" xfId="3" applyFont="1" applyFill="1" applyBorder="1" applyAlignment="1">
      <alignment horizontal="center" vertical="center" wrapText="1"/>
    </xf>
    <xf numFmtId="0" fontId="39" fillId="2" borderId="33" xfId="3" applyFont="1" applyFill="1" applyBorder="1" applyAlignment="1">
      <alignment horizontal="center" vertical="center" wrapText="1"/>
    </xf>
    <xf numFmtId="0" fontId="39" fillId="2" borderId="33" xfId="3" applyFont="1" applyFill="1" applyBorder="1" applyAlignment="1">
      <alignment horizontal="center" vertical="top" wrapText="1"/>
    </xf>
    <xf numFmtId="165" fontId="39" fillId="2" borderId="33" xfId="3" applyNumberFormat="1" applyFont="1" applyFill="1" applyBorder="1" applyAlignment="1">
      <alignment horizontal="right" vertical="center" wrapText="1"/>
    </xf>
    <xf numFmtId="171" fontId="39" fillId="2" borderId="33" xfId="3" applyNumberFormat="1" applyFont="1" applyFill="1" applyBorder="1" applyAlignment="1">
      <alignment horizontal="center" vertical="center" wrapText="1"/>
    </xf>
    <xf numFmtId="174" fontId="42" fillId="5" borderId="34" xfId="3" applyNumberFormat="1" applyFont="1" applyFill="1" applyBorder="1" applyAlignment="1">
      <alignment vertical="center" wrapText="1"/>
    </xf>
    <xf numFmtId="43" fontId="0" fillId="0" borderId="0" xfId="0" applyNumberFormat="1"/>
    <xf numFmtId="0" fontId="36" fillId="2" borderId="33" xfId="3" applyFont="1" applyFill="1" applyBorder="1" applyAlignment="1">
      <alignment horizontal="center" vertical="distributed" wrapText="1"/>
    </xf>
    <xf numFmtId="1" fontId="2" fillId="0" borderId="23" xfId="9" applyNumberFormat="1" applyFont="1" applyBorder="1" applyAlignment="1">
      <alignment horizontal="center" vertical="center" wrapText="1"/>
    </xf>
    <xf numFmtId="1" fontId="2" fillId="0" borderId="26" xfId="9" applyNumberFormat="1" applyFont="1" applyBorder="1" applyAlignment="1">
      <alignment horizontal="center" vertical="center" wrapText="1"/>
    </xf>
    <xf numFmtId="49" fontId="41" fillId="2" borderId="23" xfId="12" applyNumberFormat="1" applyFont="1" applyFill="1" applyBorder="1" applyAlignment="1">
      <alignment horizontal="center" vertical="center" wrapText="1"/>
    </xf>
    <xf numFmtId="172" fontId="41" fillId="2" borderId="23" xfId="1" applyNumberFormat="1" applyFont="1" applyFill="1" applyBorder="1" applyAlignment="1">
      <alignment horizontal="right" vertical="distributed" wrapText="1"/>
    </xf>
    <xf numFmtId="43" fontId="41" fillId="2" borderId="14" xfId="1" applyFont="1" applyFill="1" applyBorder="1" applyAlignment="1">
      <alignment horizontal="center" vertical="distributed" wrapText="1"/>
    </xf>
    <xf numFmtId="0" fontId="41" fillId="2" borderId="23" xfId="3" applyFont="1" applyFill="1" applyBorder="1" applyAlignment="1">
      <alignment horizontal="center" vertical="distributed" wrapText="1"/>
    </xf>
    <xf numFmtId="0" fontId="41" fillId="2" borderId="33" xfId="3" applyFont="1" applyFill="1" applyBorder="1" applyAlignment="1">
      <alignment horizontal="center" vertical="center" wrapText="1"/>
    </xf>
    <xf numFmtId="43" fontId="41" fillId="2" borderId="40" xfId="1" applyFont="1" applyFill="1" applyBorder="1" applyAlignment="1">
      <alignment horizontal="center" vertical="center" wrapText="1"/>
    </xf>
    <xf numFmtId="43" fontId="41" fillId="2" borderId="30" xfId="1" applyFont="1" applyFill="1" applyBorder="1" applyAlignment="1">
      <alignment horizontal="center" vertical="distributed" wrapText="1"/>
    </xf>
    <xf numFmtId="1" fontId="41" fillId="0" borderId="20" xfId="3" applyNumberFormat="1" applyFont="1" applyBorder="1" applyAlignment="1">
      <alignment horizontal="left" vertical="center" wrapText="1"/>
    </xf>
    <xf numFmtId="165" fontId="20" fillId="2" borderId="0" xfId="3" applyNumberFormat="1" applyFont="1" applyFill="1" applyAlignment="1">
      <alignment horizontal="center" vertical="center"/>
    </xf>
    <xf numFmtId="0" fontId="20" fillId="6" borderId="0" xfId="3" applyFont="1" applyFill="1"/>
    <xf numFmtId="1" fontId="41" fillId="0" borderId="23" xfId="3" applyNumberFormat="1" applyFont="1" applyBorder="1" applyAlignment="1">
      <alignment horizontal="left" vertical="top" wrapText="1"/>
    </xf>
    <xf numFmtId="1" fontId="47" fillId="2" borderId="23" xfId="3" applyNumberFormat="1" applyFont="1" applyFill="1" applyBorder="1" applyAlignment="1">
      <alignment horizontal="center" vertical="center" wrapText="1"/>
    </xf>
    <xf numFmtId="0" fontId="41" fillId="2" borderId="33" xfId="3" applyFont="1" applyFill="1" applyBorder="1" applyAlignment="1">
      <alignment horizontal="left" vertical="distributed" wrapText="1"/>
    </xf>
    <xf numFmtId="2" fontId="41" fillId="2" borderId="20" xfId="3" applyNumberFormat="1" applyFont="1" applyFill="1" applyBorder="1" applyAlignment="1">
      <alignment horizontal="center" vertical="center" wrapText="1"/>
    </xf>
    <xf numFmtId="2" fontId="41" fillId="0" borderId="14" xfId="3" applyNumberFormat="1" applyFont="1" applyBorder="1" applyAlignment="1">
      <alignment horizontal="center" vertical="center" wrapText="1"/>
    </xf>
    <xf numFmtId="2" fontId="41" fillId="0" borderId="16" xfId="3" applyNumberFormat="1" applyFont="1" applyBorder="1" applyAlignment="1">
      <alignment horizontal="center" vertical="center" wrapText="1"/>
    </xf>
    <xf numFmtId="0" fontId="5" fillId="0" borderId="20" xfId="0" applyFont="1" applyBorder="1" applyAlignment="1">
      <alignment horizontal="center" vertical="center"/>
    </xf>
    <xf numFmtId="0" fontId="27" fillId="0" borderId="21" xfId="0" applyFont="1" applyBorder="1" applyAlignment="1">
      <alignment horizontal="center" vertical="center"/>
    </xf>
    <xf numFmtId="0" fontId="5" fillId="0" borderId="21" xfId="7" applyFont="1" applyBorder="1" applyAlignment="1">
      <alignment horizontal="justify" vertical="center" wrapText="1"/>
    </xf>
    <xf numFmtId="4" fontId="2" fillId="0" borderId="21" xfId="8" applyNumberFormat="1" applyFill="1" applyBorder="1" applyAlignment="1">
      <alignment horizontal="right" vertical="center" wrapText="1"/>
    </xf>
    <xf numFmtId="0" fontId="28" fillId="0" borderId="23" xfId="0" applyFont="1" applyBorder="1" applyAlignment="1">
      <alignment horizontal="center" vertical="center"/>
    </xf>
    <xf numFmtId="0" fontId="27" fillId="0" borderId="23" xfId="0" applyFont="1" applyBorder="1" applyAlignment="1">
      <alignment horizontal="center" vertical="center"/>
    </xf>
    <xf numFmtId="4" fontId="2" fillId="0" borderId="23" xfId="8" applyNumberFormat="1" applyFill="1" applyBorder="1" applyAlignment="1">
      <alignment horizontal="right" vertical="center" wrapText="1"/>
    </xf>
    <xf numFmtId="168" fontId="2" fillId="0" borderId="33" xfId="8" applyFill="1" applyBorder="1" applyAlignment="1">
      <alignment horizontal="center" vertical="center" wrapText="1"/>
    </xf>
    <xf numFmtId="4" fontId="2" fillId="0" borderId="33" xfId="8" applyNumberFormat="1" applyFill="1" applyBorder="1" applyAlignment="1">
      <alignment horizontal="right" vertical="center" wrapText="1"/>
    </xf>
    <xf numFmtId="2" fontId="2" fillId="0" borderId="33" xfId="0" applyNumberFormat="1" applyFont="1" applyBorder="1" applyAlignment="1">
      <alignment horizontal="center" vertical="center"/>
    </xf>
    <xf numFmtId="0" fontId="2" fillId="0" borderId="33" xfId="9" applyFont="1" applyBorder="1" applyAlignment="1">
      <alignment horizontal="center" vertical="center"/>
    </xf>
    <xf numFmtId="0" fontId="2" fillId="0" borderId="33" xfId="7" applyBorder="1" applyAlignment="1">
      <alignment horizontal="justify" vertical="center" wrapText="1"/>
    </xf>
    <xf numFmtId="1" fontId="2" fillId="0" borderId="33" xfId="9" applyNumberFormat="1" applyFont="1" applyBorder="1" applyAlignment="1">
      <alignment horizontal="center" vertical="center"/>
    </xf>
    <xf numFmtId="1" fontId="36" fillId="0" borderId="31" xfId="3" applyNumberFormat="1" applyFont="1" applyBorder="1" applyAlignment="1">
      <alignment vertical="center" wrapText="1"/>
    </xf>
    <xf numFmtId="0" fontId="39" fillId="0" borderId="21" xfId="3" applyFont="1" applyBorder="1" applyAlignment="1">
      <alignment wrapText="1"/>
    </xf>
    <xf numFmtId="0" fontId="39" fillId="0" borderId="23" xfId="3" applyFont="1" applyBorder="1" applyAlignment="1">
      <alignment wrapText="1"/>
    </xf>
    <xf numFmtId="0" fontId="39" fillId="0" borderId="26" xfId="3" applyFont="1" applyBorder="1" applyAlignment="1">
      <alignment wrapText="1"/>
    </xf>
    <xf numFmtId="0" fontId="39" fillId="0" borderId="24" xfId="3" applyFont="1" applyBorder="1" applyAlignment="1">
      <alignment wrapText="1"/>
    </xf>
    <xf numFmtId="0" fontId="39" fillId="0" borderId="25" xfId="3" applyFont="1" applyBorder="1" applyAlignment="1">
      <alignment horizontal="center" wrapText="1"/>
    </xf>
    <xf numFmtId="0" fontId="39" fillId="0" borderId="45" xfId="3" applyFont="1" applyBorder="1" applyAlignment="1">
      <alignment wrapText="1"/>
    </xf>
    <xf numFmtId="0" fontId="39" fillId="0" borderId="27" xfId="3" applyFont="1" applyBorder="1" applyAlignment="1">
      <alignment horizontal="center" wrapText="1"/>
    </xf>
    <xf numFmtId="1" fontId="36" fillId="2" borderId="33" xfId="3" applyNumberFormat="1" applyFont="1" applyFill="1" applyBorder="1" applyAlignment="1">
      <alignment horizontal="center" vertical="center" wrapText="1"/>
    </xf>
    <xf numFmtId="2" fontId="41" fillId="2" borderId="15" xfId="3" applyNumberFormat="1" applyFont="1" applyFill="1" applyBorder="1" applyAlignment="1">
      <alignment horizontal="center" vertical="center" wrapText="1"/>
    </xf>
    <xf numFmtId="0" fontId="39" fillId="2" borderId="14" xfId="3" applyFont="1" applyFill="1" applyBorder="1" applyAlignment="1">
      <alignment horizontal="center" vertical="distributed" wrapText="1"/>
    </xf>
    <xf numFmtId="0" fontId="39" fillId="2" borderId="16" xfId="3" applyFont="1" applyFill="1" applyBorder="1" applyAlignment="1">
      <alignment horizontal="center" vertical="distributed" wrapText="1"/>
    </xf>
    <xf numFmtId="0" fontId="39" fillId="2" borderId="23" xfId="3" applyFont="1" applyFill="1" applyBorder="1" applyAlignment="1">
      <alignment horizontal="center" vertical="distributed" wrapText="1"/>
    </xf>
    <xf numFmtId="1" fontId="36" fillId="0" borderId="34" xfId="3" applyNumberFormat="1" applyFont="1" applyBorder="1" applyAlignment="1">
      <alignment vertical="center" wrapText="1"/>
    </xf>
    <xf numFmtId="43" fontId="41" fillId="2" borderId="16" xfId="1" applyFont="1" applyFill="1" applyBorder="1" applyAlignment="1">
      <alignment horizontal="center" vertical="center" wrapText="1"/>
    </xf>
    <xf numFmtId="43" fontId="41" fillId="2" borderId="15" xfId="1" applyFont="1" applyFill="1" applyBorder="1" applyAlignment="1">
      <alignment horizontal="center" vertical="center" wrapText="1"/>
    </xf>
    <xf numFmtId="43" fontId="41" fillId="2" borderId="16" xfId="1" applyFont="1" applyFill="1" applyBorder="1" applyAlignment="1">
      <alignment horizontal="center" vertical="distributed" wrapText="1"/>
    </xf>
    <xf numFmtId="1" fontId="4" fillId="0" borderId="29" xfId="3" applyNumberFormat="1" applyFont="1" applyBorder="1" applyAlignment="1">
      <alignment horizontal="left" vertical="center" wrapText="1"/>
    </xf>
    <xf numFmtId="0" fontId="4" fillId="2" borderId="29" xfId="3" applyFont="1" applyFill="1" applyBorder="1" applyAlignment="1">
      <alignment horizontal="center" vertical="center" wrapText="1"/>
    </xf>
    <xf numFmtId="43" fontId="4" fillId="2" borderId="29" xfId="1" applyFont="1" applyFill="1" applyBorder="1" applyAlignment="1">
      <alignment horizontal="center" vertical="distributed" wrapText="1"/>
    </xf>
    <xf numFmtId="1" fontId="3" fillId="0" borderId="31" xfId="3" applyNumberFormat="1" applyFont="1" applyBorder="1" applyAlignment="1">
      <alignment horizontal="center" vertical="center" wrapText="1"/>
    </xf>
    <xf numFmtId="0" fontId="2" fillId="0" borderId="20" xfId="0" applyFont="1" applyBorder="1" applyAlignment="1">
      <alignment horizontal="center" vertical="center"/>
    </xf>
    <xf numFmtId="0" fontId="41" fillId="2" borderId="15" xfId="3" applyFont="1" applyFill="1" applyBorder="1" applyAlignment="1">
      <alignment horizontal="center" vertical="distributed" wrapText="1"/>
    </xf>
    <xf numFmtId="175" fontId="42" fillId="5" borderId="7" xfId="1" applyNumberFormat="1" applyFont="1" applyFill="1" applyBorder="1" applyAlignment="1">
      <alignment horizontal="center" vertical="center" wrapText="1"/>
    </xf>
    <xf numFmtId="0" fontId="4" fillId="2" borderId="23" xfId="12" applyFont="1" applyFill="1" applyBorder="1" applyAlignment="1">
      <alignment horizontal="left" vertical="top" wrapText="1"/>
    </xf>
    <xf numFmtId="0" fontId="22" fillId="0" borderId="0" xfId="3" applyFont="1" applyAlignment="1">
      <alignment wrapText="1"/>
    </xf>
    <xf numFmtId="1" fontId="4" fillId="0" borderId="17" xfId="3" applyNumberFormat="1" applyFont="1" applyBorder="1" applyAlignment="1">
      <alignment horizontal="left" vertical="top" wrapText="1"/>
    </xf>
    <xf numFmtId="0" fontId="4" fillId="2" borderId="33" xfId="3" applyFont="1" applyFill="1" applyBorder="1" applyAlignment="1">
      <alignment horizontal="center" vertical="distributed" wrapText="1"/>
    </xf>
    <xf numFmtId="175" fontId="4" fillId="0" borderId="21" xfId="3" applyNumberFormat="1" applyFont="1" applyBorder="1" applyAlignment="1">
      <alignment horizontal="center" vertical="top" wrapText="1"/>
    </xf>
    <xf numFmtId="1" fontId="4" fillId="2" borderId="35" xfId="3" applyNumberFormat="1" applyFont="1" applyFill="1" applyBorder="1" applyAlignment="1">
      <alignment horizontal="center" vertical="center" wrapText="1"/>
    </xf>
    <xf numFmtId="1" fontId="4" fillId="2" borderId="36" xfId="3" applyNumberFormat="1" applyFont="1" applyFill="1" applyBorder="1" applyAlignment="1">
      <alignment horizontal="center" vertical="center" wrapText="1"/>
    </xf>
    <xf numFmtId="2" fontId="4" fillId="2" borderId="28" xfId="3" applyNumberFormat="1" applyFont="1" applyFill="1" applyBorder="1" applyAlignment="1">
      <alignment horizontal="center" vertical="center" wrapText="1"/>
    </xf>
    <xf numFmtId="43" fontId="4" fillId="2" borderId="20" xfId="1" applyFont="1" applyFill="1" applyBorder="1" applyAlignment="1">
      <alignment horizontal="center" vertical="center" wrapText="1"/>
    </xf>
    <xf numFmtId="10" fontId="4" fillId="2" borderId="23" xfId="2" applyNumberFormat="1" applyFont="1" applyFill="1" applyBorder="1" applyAlignment="1">
      <alignment horizontal="center" vertical="center" wrapText="1"/>
    </xf>
    <xf numFmtId="171" fontId="4" fillId="2" borderId="20" xfId="3" applyNumberFormat="1" applyFont="1" applyFill="1" applyBorder="1" applyAlignment="1">
      <alignment horizontal="center" vertical="center" wrapText="1"/>
    </xf>
    <xf numFmtId="1" fontId="4" fillId="0" borderId="23" xfId="3" applyNumberFormat="1" applyFont="1" applyBorder="1" applyAlignment="1">
      <alignment horizontal="left" vertical="top" wrapText="1"/>
    </xf>
    <xf numFmtId="2" fontId="4" fillId="0" borderId="32" xfId="3" applyNumberFormat="1" applyFont="1" applyBorder="1" applyAlignment="1">
      <alignment horizontal="center" vertical="center" wrapText="1"/>
    </xf>
    <xf numFmtId="2" fontId="4" fillId="0" borderId="40" xfId="3" applyNumberFormat="1" applyFont="1" applyBorder="1" applyAlignment="1">
      <alignment vertical="center" wrapText="1"/>
    </xf>
    <xf numFmtId="2" fontId="4" fillId="0" borderId="30" xfId="3" applyNumberFormat="1" applyFont="1" applyBorder="1" applyAlignment="1">
      <alignment horizontal="center" vertical="center" wrapText="1"/>
    </xf>
    <xf numFmtId="174" fontId="4" fillId="0" borderId="23" xfId="1" applyNumberFormat="1" applyFont="1" applyFill="1" applyBorder="1" applyAlignment="1">
      <alignment horizontal="center" vertical="center" wrapText="1"/>
    </xf>
    <xf numFmtId="1" fontId="4" fillId="0" borderId="23" xfId="3" applyNumberFormat="1" applyFont="1" applyBorder="1" applyAlignment="1">
      <alignment horizontal="center" vertical="center" wrapText="1"/>
    </xf>
    <xf numFmtId="1" fontId="4" fillId="0" borderId="23" xfId="12" applyNumberFormat="1" applyFont="1" applyBorder="1" applyAlignment="1">
      <alignment horizontal="left" vertical="center" wrapText="1"/>
    </xf>
    <xf numFmtId="0" fontId="4" fillId="0" borderId="14" xfId="1" applyNumberFormat="1" applyFont="1" applyFill="1" applyBorder="1" applyAlignment="1">
      <alignment horizontal="center" vertical="center" wrapText="1"/>
    </xf>
    <xf numFmtId="2" fontId="4" fillId="2" borderId="23" xfId="1" applyNumberFormat="1" applyFont="1" applyFill="1" applyBorder="1" applyAlignment="1">
      <alignment horizontal="center" vertical="center" wrapText="1"/>
    </xf>
    <xf numFmtId="165" fontId="2" fillId="0" borderId="0" xfId="3" applyNumberFormat="1" applyAlignment="1">
      <alignment horizontal="center" vertical="center"/>
    </xf>
    <xf numFmtId="0" fontId="4" fillId="0" borderId="15" xfId="3" applyFont="1" applyBorder="1"/>
    <xf numFmtId="1" fontId="4" fillId="0" borderId="21" xfId="3" applyNumberFormat="1" applyFont="1" applyBorder="1" applyAlignment="1">
      <alignment horizontal="left" vertical="top" wrapText="1"/>
    </xf>
    <xf numFmtId="1" fontId="4" fillId="0" borderId="33" xfId="3" applyNumberFormat="1" applyFont="1" applyBorder="1" applyAlignment="1">
      <alignment horizontal="left" vertical="top" wrapText="1"/>
    </xf>
    <xf numFmtId="2" fontId="4" fillId="2" borderId="33" xfId="3" applyNumberFormat="1" applyFont="1" applyFill="1" applyBorder="1" applyAlignment="1">
      <alignment horizontal="left" vertical="center" wrapText="1"/>
    </xf>
    <xf numFmtId="174" fontId="4" fillId="2" borderId="33" xfId="3" applyNumberFormat="1" applyFont="1" applyFill="1" applyBorder="1" applyAlignment="1">
      <alignment horizontal="center" vertical="center" wrapText="1"/>
    </xf>
    <xf numFmtId="1" fontId="4" fillId="0" borderId="20" xfId="3" applyNumberFormat="1" applyFont="1" applyBorder="1" applyAlignment="1">
      <alignment horizontal="left" vertical="top" wrapText="1"/>
    </xf>
    <xf numFmtId="43" fontId="4" fillId="2" borderId="21" xfId="1" applyFont="1" applyFill="1" applyBorder="1" applyAlignment="1">
      <alignment horizontal="center" vertical="center" wrapText="1"/>
    </xf>
    <xf numFmtId="0" fontId="53" fillId="0" borderId="0" xfId="3" applyFont="1"/>
    <xf numFmtId="0" fontId="36" fillId="2" borderId="17" xfId="3" applyFont="1" applyFill="1" applyBorder="1" applyAlignment="1">
      <alignment horizontal="center" vertical="top" wrapText="1"/>
    </xf>
    <xf numFmtId="0" fontId="53" fillId="0" borderId="15" xfId="3" applyFont="1" applyBorder="1"/>
    <xf numFmtId="17" fontId="4" fillId="0" borderId="33" xfId="3" applyNumberFormat="1" applyFont="1" applyBorder="1" applyAlignment="1">
      <alignment horizontal="center" vertical="center" wrapText="1"/>
    </xf>
    <xf numFmtId="17" fontId="4" fillId="2" borderId="23" xfId="12" applyNumberFormat="1" applyFont="1" applyFill="1" applyBorder="1" applyAlignment="1">
      <alignment horizontal="center" vertical="center" wrapText="1"/>
    </xf>
    <xf numFmtId="0" fontId="22" fillId="2" borderId="0" xfId="0" applyFont="1" applyFill="1" applyAlignment="1">
      <alignment horizontal="center" vertical="center"/>
    </xf>
    <xf numFmtId="0" fontId="4" fillId="0" borderId="0" xfId="3" applyFont="1"/>
    <xf numFmtId="2" fontId="4" fillId="2" borderId="35" xfId="3" applyNumberFormat="1" applyFont="1" applyFill="1" applyBorder="1" applyAlignment="1">
      <alignment horizontal="center" vertical="center" wrapText="1"/>
    </xf>
    <xf numFmtId="2" fontId="4" fillId="2" borderId="36" xfId="3" applyNumberFormat="1" applyFont="1" applyFill="1" applyBorder="1" applyAlignment="1">
      <alignment horizontal="center" vertical="center" wrapText="1"/>
    </xf>
    <xf numFmtId="1" fontId="4" fillId="0" borderId="31" xfId="3" applyNumberFormat="1" applyFont="1" applyBorder="1" applyAlignment="1">
      <alignment horizontal="left" vertical="top" wrapText="1"/>
    </xf>
    <xf numFmtId="0" fontId="4" fillId="2" borderId="23" xfId="3" quotePrefix="1" applyFont="1" applyFill="1" applyBorder="1" applyAlignment="1">
      <alignment horizontal="center" vertical="center" wrapText="1"/>
    </xf>
    <xf numFmtId="0" fontId="53" fillId="0" borderId="21" xfId="3" applyFont="1" applyBorder="1"/>
    <xf numFmtId="0" fontId="4" fillId="0" borderId="23" xfId="3" applyFont="1" applyBorder="1"/>
    <xf numFmtId="0" fontId="4" fillId="0" borderId="46" xfId="3" applyFont="1" applyBorder="1" applyAlignment="1">
      <alignment horizontal="center" vertical="center" wrapText="1"/>
    </xf>
    <xf numFmtId="1" fontId="3" fillId="2" borderId="24" xfId="3" applyNumberFormat="1" applyFont="1" applyFill="1" applyBorder="1" applyAlignment="1">
      <alignment horizontal="center" vertical="center" wrapText="1"/>
    </xf>
    <xf numFmtId="165" fontId="4" fillId="2" borderId="29" xfId="3" applyNumberFormat="1" applyFont="1" applyFill="1" applyBorder="1" applyAlignment="1">
      <alignment horizontal="right" vertical="center" wrapText="1"/>
    </xf>
    <xf numFmtId="2" fontId="4" fillId="0" borderId="44" xfId="3" applyNumberFormat="1" applyFont="1" applyBorder="1" applyAlignment="1">
      <alignment horizontal="center" vertical="center" wrapText="1"/>
    </xf>
    <xf numFmtId="2" fontId="4" fillId="0" borderId="44" xfId="3" applyNumberFormat="1" applyFont="1" applyBorder="1" applyAlignment="1">
      <alignment horizontal="center" vertical="distributed" wrapText="1"/>
    </xf>
    <xf numFmtId="2" fontId="4" fillId="0" borderId="48" xfId="3" applyNumberFormat="1" applyFont="1" applyBorder="1" applyAlignment="1">
      <alignment horizontal="center" vertical="distributed" wrapText="1"/>
    </xf>
    <xf numFmtId="0" fontId="4" fillId="0" borderId="29" xfId="3" applyFont="1" applyBorder="1" applyAlignment="1">
      <alignment horizontal="center" vertical="center" wrapText="1"/>
    </xf>
    <xf numFmtId="174" fontId="4" fillId="0" borderId="29" xfId="3" applyNumberFormat="1" applyFont="1" applyBorder="1" applyAlignment="1">
      <alignment horizontal="center" vertical="center" wrapText="1"/>
    </xf>
    <xf numFmtId="171" fontId="4" fillId="0" borderId="29" xfId="3" applyNumberFormat="1" applyFont="1" applyBorder="1" applyAlignment="1">
      <alignment horizontal="center" vertical="center" wrapText="1"/>
    </xf>
    <xf numFmtId="0" fontId="4" fillId="0" borderId="25" xfId="3" applyFont="1" applyBorder="1" applyAlignment="1">
      <alignment horizontal="left" vertical="distributed" wrapText="1"/>
    </xf>
    <xf numFmtId="2" fontId="4" fillId="0" borderId="48" xfId="3" applyNumberFormat="1" applyFont="1" applyBorder="1" applyAlignment="1">
      <alignment horizontal="center" vertical="center" wrapText="1"/>
    </xf>
    <xf numFmtId="0" fontId="4" fillId="0" borderId="15" xfId="3" applyFont="1" applyBorder="1" applyAlignment="1">
      <alignment horizontal="center" wrapText="1"/>
    </xf>
    <xf numFmtId="0" fontId="53" fillId="0" borderId="11" xfId="3" applyFont="1" applyBorder="1"/>
    <xf numFmtId="0" fontId="53" fillId="0" borderId="14" xfId="3" applyFont="1" applyBorder="1"/>
    <xf numFmtId="0" fontId="41" fillId="2" borderId="15" xfId="3" applyFont="1" applyFill="1" applyBorder="1" applyAlignment="1">
      <alignment horizontal="center" vertical="center" wrapText="1"/>
    </xf>
    <xf numFmtId="0" fontId="41" fillId="2" borderId="16" xfId="3" applyFont="1" applyFill="1" applyBorder="1" applyAlignment="1">
      <alignment horizontal="center" vertical="center" wrapText="1"/>
    </xf>
    <xf numFmtId="0" fontId="41" fillId="2" borderId="14" xfId="3" applyFont="1" applyFill="1" applyBorder="1" applyAlignment="1">
      <alignment horizontal="center" vertical="distributed" wrapText="1"/>
    </xf>
    <xf numFmtId="0" fontId="41" fillId="2" borderId="16" xfId="3" applyFont="1" applyFill="1" applyBorder="1" applyAlignment="1">
      <alignment horizontal="center" vertical="distributed" wrapText="1"/>
    </xf>
    <xf numFmtId="0" fontId="41" fillId="0" borderId="23" xfId="3" applyFont="1" applyBorder="1" applyAlignment="1">
      <alignment horizontal="center" vertical="center" wrapText="1"/>
    </xf>
    <xf numFmtId="2" fontId="41" fillId="2" borderId="32" xfId="3" applyNumberFormat="1" applyFont="1" applyFill="1" applyBorder="1" applyAlignment="1">
      <alignment horizontal="center" vertical="center" wrapText="1"/>
    </xf>
    <xf numFmtId="2" fontId="41" fillId="2" borderId="30" xfId="3" applyNumberFormat="1" applyFont="1" applyFill="1" applyBorder="1" applyAlignment="1">
      <alignment horizontal="center" vertical="center" wrapText="1"/>
    </xf>
    <xf numFmtId="2" fontId="41" fillId="2" borderId="33" xfId="3" applyNumberFormat="1" applyFont="1" applyFill="1" applyBorder="1" applyAlignment="1">
      <alignment horizontal="center" vertical="center" wrapText="1"/>
    </xf>
    <xf numFmtId="0" fontId="41" fillId="2" borderId="32" xfId="3" applyFont="1" applyFill="1" applyBorder="1" applyAlignment="1">
      <alignment horizontal="center" vertical="center" wrapText="1"/>
    </xf>
    <xf numFmtId="0" fontId="41" fillId="2" borderId="33" xfId="3" applyFont="1" applyFill="1" applyBorder="1" applyAlignment="1">
      <alignment horizontal="center" vertical="top" wrapText="1"/>
    </xf>
    <xf numFmtId="171" fontId="41" fillId="2" borderId="33" xfId="3" applyNumberFormat="1" applyFont="1" applyFill="1" applyBorder="1" applyAlignment="1">
      <alignment horizontal="center" vertical="center" wrapText="1"/>
    </xf>
    <xf numFmtId="2" fontId="4" fillId="2" borderId="23" xfId="3" applyNumberFormat="1" applyFont="1" applyFill="1" applyBorder="1" applyAlignment="1">
      <alignment horizontal="left" vertical="center" wrapText="1"/>
    </xf>
    <xf numFmtId="0" fontId="3" fillId="2" borderId="21" xfId="3" applyFont="1" applyFill="1" applyBorder="1" applyAlignment="1">
      <alignment horizontal="center" vertical="distributed" wrapText="1"/>
    </xf>
    <xf numFmtId="17" fontId="47" fillId="2" borderId="23" xfId="3" applyNumberFormat="1" applyFont="1" applyFill="1" applyBorder="1" applyAlignment="1">
      <alignment horizontal="center" vertical="distributed" wrapText="1"/>
    </xf>
    <xf numFmtId="0" fontId="4" fillId="2" borderId="1" xfId="3" applyFont="1" applyFill="1" applyBorder="1" applyAlignment="1">
      <alignment horizontal="center" vertical="center" wrapText="1"/>
    </xf>
    <xf numFmtId="0" fontId="4" fillId="2" borderId="3" xfId="3" applyFont="1" applyFill="1" applyBorder="1" applyAlignment="1">
      <alignment horizontal="center" vertical="center" wrapText="1"/>
    </xf>
    <xf numFmtId="0" fontId="4" fillId="2" borderId="1" xfId="3" applyFont="1" applyFill="1" applyBorder="1" applyAlignment="1">
      <alignment horizontal="center" vertical="distributed" wrapText="1"/>
    </xf>
    <xf numFmtId="0" fontId="4" fillId="2" borderId="3" xfId="3" applyFont="1" applyFill="1" applyBorder="1" applyAlignment="1">
      <alignment horizontal="center" vertical="distributed" wrapText="1"/>
    </xf>
    <xf numFmtId="0" fontId="53" fillId="0" borderId="13" xfId="3" applyFont="1" applyBorder="1"/>
    <xf numFmtId="0" fontId="53" fillId="0" borderId="16" xfId="3" applyFont="1" applyBorder="1"/>
    <xf numFmtId="49" fontId="4" fillId="0" borderId="33" xfId="12" applyNumberFormat="1" applyFont="1" applyBorder="1" applyAlignment="1">
      <alignment horizontal="center" vertical="center" wrapText="1"/>
    </xf>
    <xf numFmtId="10" fontId="4" fillId="2" borderId="33" xfId="2" applyNumberFormat="1" applyFont="1" applyFill="1" applyBorder="1" applyAlignment="1">
      <alignment horizontal="center" vertical="center" wrapText="1"/>
    </xf>
    <xf numFmtId="0" fontId="4" fillId="2" borderId="33" xfId="3" applyFont="1" applyFill="1" applyBorder="1" applyAlignment="1">
      <alignment horizontal="left" vertical="center" wrapText="1"/>
    </xf>
    <xf numFmtId="2" fontId="41" fillId="0" borderId="14" xfId="3" applyNumberFormat="1" applyFont="1" applyBorder="1" applyAlignment="1">
      <alignment horizontal="center" vertical="distributed" wrapText="1"/>
    </xf>
    <xf numFmtId="0" fontId="41" fillId="0" borderId="15" xfId="3" applyFont="1" applyBorder="1" applyAlignment="1">
      <alignment horizontal="center" vertical="distributed" wrapText="1"/>
    </xf>
    <xf numFmtId="2" fontId="41" fillId="0" borderId="16" xfId="3" applyNumberFormat="1" applyFont="1" applyBorder="1" applyAlignment="1">
      <alignment horizontal="center" vertical="distributed" wrapText="1"/>
    </xf>
    <xf numFmtId="0" fontId="41" fillId="0" borderId="23" xfId="3" applyFont="1" applyBorder="1" applyAlignment="1">
      <alignment horizontal="center" vertical="top" wrapText="1"/>
    </xf>
    <xf numFmtId="165" fontId="41" fillId="0" borderId="23" xfId="3" applyNumberFormat="1" applyFont="1" applyBorder="1" applyAlignment="1">
      <alignment horizontal="right" vertical="center" wrapText="1"/>
    </xf>
    <xf numFmtId="171" fontId="41" fillId="0" borderId="23" xfId="3" applyNumberFormat="1" applyFont="1" applyBorder="1" applyAlignment="1">
      <alignment horizontal="center" vertical="center" wrapText="1"/>
    </xf>
    <xf numFmtId="1" fontId="41" fillId="0" borderId="15" xfId="3" applyNumberFormat="1" applyFont="1" applyBorder="1" applyAlignment="1">
      <alignment horizontal="left" vertical="center" wrapText="1"/>
    </xf>
    <xf numFmtId="2" fontId="41" fillId="0" borderId="15" xfId="3" applyNumberFormat="1" applyFont="1" applyBorder="1" applyAlignment="1">
      <alignment horizontal="center" vertical="distributed" wrapText="1"/>
    </xf>
    <xf numFmtId="0" fontId="41" fillId="0" borderId="14" xfId="3" applyFont="1" applyBorder="1" applyAlignment="1">
      <alignment horizontal="center" vertical="center" wrapText="1"/>
    </xf>
    <xf numFmtId="0" fontId="41" fillId="0" borderId="16" xfId="3" applyFont="1" applyBorder="1" applyAlignment="1">
      <alignment horizontal="center" vertical="center" wrapText="1"/>
    </xf>
    <xf numFmtId="0" fontId="41" fillId="0" borderId="15" xfId="3" applyFont="1" applyBorder="1" applyAlignment="1">
      <alignment horizontal="center" vertical="center" wrapText="1"/>
    </xf>
    <xf numFmtId="0" fontId="41" fillId="2" borderId="40" xfId="3" applyFont="1" applyFill="1" applyBorder="1" applyAlignment="1">
      <alignment horizontal="center" vertical="center" wrapText="1"/>
    </xf>
    <xf numFmtId="0" fontId="41" fillId="2" borderId="30" xfId="3" applyFont="1" applyFill="1" applyBorder="1" applyAlignment="1">
      <alignment horizontal="center" vertical="center" wrapText="1"/>
    </xf>
    <xf numFmtId="174" fontId="4" fillId="0" borderId="23" xfId="3" applyNumberFormat="1" applyFont="1" applyBorder="1" applyAlignment="1">
      <alignment horizontal="center" vertical="center" wrapText="1"/>
    </xf>
    <xf numFmtId="10" fontId="4" fillId="0" borderId="23" xfId="2" applyNumberFormat="1" applyFont="1" applyBorder="1" applyAlignment="1">
      <alignment horizontal="center" vertical="center" wrapText="1"/>
    </xf>
    <xf numFmtId="0" fontId="4" fillId="2" borderId="21" xfId="3" applyFont="1" applyFill="1" applyBorder="1" applyAlignment="1">
      <alignment horizontal="center" vertical="distributed" wrapText="1"/>
    </xf>
    <xf numFmtId="17" fontId="3" fillId="2" borderId="23" xfId="3" applyNumberFormat="1" applyFont="1" applyFill="1" applyBorder="1" applyAlignment="1">
      <alignment horizontal="center" vertical="distributed" wrapText="1"/>
    </xf>
    <xf numFmtId="2" fontId="4" fillId="2" borderId="2" xfId="3" applyNumberFormat="1" applyFont="1" applyFill="1" applyBorder="1" applyAlignment="1">
      <alignment horizontal="center" vertical="center" wrapText="1"/>
    </xf>
    <xf numFmtId="2" fontId="4" fillId="2" borderId="2" xfId="3" applyNumberFormat="1" applyFont="1" applyFill="1" applyBorder="1" applyAlignment="1">
      <alignment horizontal="center" vertical="distributed" wrapText="1"/>
    </xf>
    <xf numFmtId="2" fontId="41" fillId="2" borderId="15" xfId="3" applyNumberFormat="1" applyFont="1" applyFill="1" applyBorder="1" applyAlignment="1">
      <alignment horizontal="center" vertical="distributed" wrapText="1"/>
    </xf>
    <xf numFmtId="43" fontId="4" fillId="0" borderId="32" xfId="1" applyFont="1" applyFill="1" applyBorder="1" applyAlignment="1">
      <alignment horizontal="center" vertical="center" wrapText="1"/>
    </xf>
    <xf numFmtId="1" fontId="47" fillId="2" borderId="20" xfId="3" applyNumberFormat="1" applyFont="1" applyFill="1" applyBorder="1" applyAlignment="1">
      <alignment horizontal="center" vertical="center" wrapText="1"/>
    </xf>
    <xf numFmtId="0" fontId="41" fillId="0" borderId="33" xfId="12" applyFont="1" applyBorder="1" applyAlignment="1">
      <alignment horizontal="left" vertical="center" wrapText="1"/>
    </xf>
    <xf numFmtId="0" fontId="41" fillId="0" borderId="33" xfId="1" applyNumberFormat="1" applyFont="1" applyFill="1" applyBorder="1" applyAlignment="1">
      <alignment horizontal="center" vertical="center" wrapText="1"/>
    </xf>
    <xf numFmtId="43" fontId="41" fillId="0" borderId="30" xfId="1" applyFont="1" applyFill="1" applyBorder="1" applyAlignment="1">
      <alignment horizontal="center" vertical="center" wrapText="1"/>
    </xf>
    <xf numFmtId="2" fontId="41" fillId="0" borderId="40" xfId="1" applyNumberFormat="1" applyFont="1" applyFill="1" applyBorder="1" applyAlignment="1">
      <alignment horizontal="center" vertical="center" wrapText="1"/>
    </xf>
    <xf numFmtId="0" fontId="41" fillId="0" borderId="32" xfId="1" applyNumberFormat="1" applyFont="1" applyFill="1" applyBorder="1" applyAlignment="1">
      <alignment horizontal="center" vertical="center" wrapText="1"/>
    </xf>
    <xf numFmtId="43" fontId="41" fillId="0" borderId="23" xfId="1" applyFont="1" applyFill="1" applyBorder="1" applyAlignment="1">
      <alignment horizontal="center" vertical="center" wrapText="1"/>
    </xf>
    <xf numFmtId="171" fontId="41" fillId="0" borderId="33" xfId="3" applyNumberFormat="1" applyFont="1" applyBorder="1" applyAlignment="1">
      <alignment horizontal="center" vertical="center" wrapText="1"/>
    </xf>
    <xf numFmtId="176" fontId="4" fillId="2" borderId="40" xfId="3" applyNumberFormat="1" applyFont="1" applyFill="1" applyBorder="1" applyAlignment="1">
      <alignment horizontal="center" vertical="center" wrapText="1"/>
    </xf>
    <xf numFmtId="176" fontId="4" fillId="2" borderId="40" xfId="3" applyNumberFormat="1" applyFont="1" applyFill="1" applyBorder="1" applyAlignment="1">
      <alignment horizontal="center" vertical="distributed" wrapText="1"/>
    </xf>
    <xf numFmtId="176" fontId="4" fillId="2" borderId="33" xfId="3" applyNumberFormat="1" applyFont="1" applyFill="1" applyBorder="1" applyAlignment="1">
      <alignment horizontal="center" vertical="center" wrapText="1"/>
    </xf>
    <xf numFmtId="174" fontId="4" fillId="2" borderId="32" xfId="3" applyNumberFormat="1" applyFont="1" applyFill="1" applyBorder="1" applyAlignment="1">
      <alignment horizontal="center" vertical="center" wrapText="1"/>
    </xf>
    <xf numFmtId="0" fontId="53" fillId="0" borderId="30" xfId="3" applyFont="1" applyBorder="1"/>
    <xf numFmtId="0" fontId="54" fillId="0" borderId="0" xfId="0" applyFont="1"/>
    <xf numFmtId="0" fontId="54" fillId="0" borderId="55" xfId="0" applyFont="1" applyBorder="1"/>
    <xf numFmtId="0" fontId="54" fillId="0" borderId="2" xfId="0" applyFont="1" applyBorder="1"/>
    <xf numFmtId="0" fontId="54" fillId="0" borderId="2" xfId="0" applyFont="1" applyBorder="1" applyAlignment="1">
      <alignment horizontal="center"/>
    </xf>
    <xf numFmtId="0" fontId="54" fillId="3" borderId="2" xfId="0" applyFont="1" applyFill="1" applyBorder="1" applyAlignment="1">
      <alignment horizontal="center"/>
    </xf>
    <xf numFmtId="0" fontId="59" fillId="0" borderId="0" xfId="0" applyFont="1" applyAlignment="1">
      <alignment horizontal="center" vertical="center"/>
    </xf>
    <xf numFmtId="0" fontId="59" fillId="0" borderId="18" xfId="0" applyFont="1" applyBorder="1" applyAlignment="1">
      <alignment horizontal="center" vertical="center"/>
    </xf>
    <xf numFmtId="0" fontId="62" fillId="0" borderId="9" xfId="0" applyFont="1" applyBorder="1"/>
    <xf numFmtId="0" fontId="62" fillId="3" borderId="9" xfId="0" applyFont="1" applyFill="1" applyBorder="1" applyAlignment="1">
      <alignment horizontal="left"/>
    </xf>
    <xf numFmtId="0" fontId="62" fillId="3" borderId="9" xfId="0" applyFont="1" applyFill="1" applyBorder="1" applyAlignment="1">
      <alignment horizontal="right"/>
    </xf>
    <xf numFmtId="14" fontId="62" fillId="3" borderId="9" xfId="0" applyNumberFormat="1" applyFont="1" applyFill="1" applyBorder="1" applyAlignment="1">
      <alignment horizontal="center"/>
    </xf>
    <xf numFmtId="0" fontId="64" fillId="3" borderId="1" xfId="0" applyFont="1" applyFill="1" applyBorder="1"/>
    <xf numFmtId="0" fontId="64" fillId="3" borderId="2" xfId="0" applyFont="1" applyFill="1" applyBorder="1"/>
    <xf numFmtId="0" fontId="64" fillId="3" borderId="6" xfId="0" applyFont="1" applyFill="1" applyBorder="1"/>
    <xf numFmtId="0" fontId="64" fillId="3" borderId="18" xfId="0" applyFont="1" applyFill="1" applyBorder="1"/>
    <xf numFmtId="0" fontId="54" fillId="0" borderId="49" xfId="0" applyFont="1" applyBorder="1" applyAlignment="1">
      <alignment horizontal="left" indent="1"/>
    </xf>
    <xf numFmtId="0" fontId="54" fillId="0" borderId="50" xfId="0" applyFont="1" applyBorder="1" applyAlignment="1">
      <alignment horizontal="left" indent="1"/>
    </xf>
    <xf numFmtId="0" fontId="54" fillId="0" borderId="51" xfId="0" applyFont="1" applyBorder="1"/>
    <xf numFmtId="0" fontId="54" fillId="0" borderId="61" xfId="0" applyFont="1" applyBorder="1"/>
    <xf numFmtId="0" fontId="54" fillId="0" borderId="52" xfId="0" applyFont="1" applyBorder="1" applyAlignment="1">
      <alignment horizontal="left"/>
    </xf>
    <xf numFmtId="0" fontId="54" fillId="0" borderId="0" xfId="0" applyFont="1" applyAlignment="1">
      <alignment horizontal="left"/>
    </xf>
    <xf numFmtId="0" fontId="56" fillId="0" borderId="62" xfId="0" applyFont="1" applyBorder="1" applyAlignment="1">
      <alignment horizontal="left" vertical="center" wrapText="1" indent="1"/>
    </xf>
    <xf numFmtId="0" fontId="56" fillId="0" borderId="0" xfId="0" applyFont="1" applyAlignment="1">
      <alignment horizontal="left" vertical="center" wrapText="1" indent="1"/>
    </xf>
    <xf numFmtId="0" fontId="62" fillId="0" borderId="52" xfId="0" applyFont="1" applyBorder="1"/>
    <xf numFmtId="0" fontId="62" fillId="0" borderId="0" xfId="0" applyFont="1"/>
    <xf numFmtId="0" fontId="0" fillId="0" borderId="62" xfId="0" applyBorder="1"/>
    <xf numFmtId="0" fontId="0" fillId="0" borderId="65" xfId="0" applyBorder="1"/>
    <xf numFmtId="0" fontId="67" fillId="0" borderId="57" xfId="0" applyFont="1" applyBorder="1" applyAlignment="1">
      <alignment horizontal="left"/>
    </xf>
    <xf numFmtId="0" fontId="67" fillId="0" borderId="0" xfId="0" applyFont="1" applyAlignment="1">
      <alignment horizontal="left"/>
    </xf>
    <xf numFmtId="0" fontId="67" fillId="0" borderId="0" xfId="0" applyFont="1"/>
    <xf numFmtId="0" fontId="54" fillId="0" borderId="0" xfId="0" applyFont="1" applyAlignment="1">
      <alignment vertical="center"/>
    </xf>
    <xf numFmtId="0" fontId="54" fillId="0" borderId="0" xfId="0" applyFont="1" applyAlignment="1">
      <alignment horizontal="left" indent="1"/>
    </xf>
    <xf numFmtId="2" fontId="4" fillId="0" borderId="15" xfId="3" applyNumberFormat="1" applyFont="1" applyBorder="1" applyAlignment="1">
      <alignment horizontal="center" vertical="distributed" wrapText="1"/>
    </xf>
    <xf numFmtId="2" fontId="4" fillId="0" borderId="20" xfId="3" applyNumberFormat="1" applyFont="1" applyBorder="1" applyAlignment="1">
      <alignment horizontal="center" vertical="center" wrapText="1"/>
    </xf>
    <xf numFmtId="0" fontId="4" fillId="2" borderId="20" xfId="3" applyFont="1" applyFill="1" applyBorder="1" applyAlignment="1">
      <alignment horizontal="center" vertical="top" wrapText="1"/>
    </xf>
    <xf numFmtId="2" fontId="41" fillId="2" borderId="0" xfId="3" applyNumberFormat="1" applyFont="1" applyFill="1" applyAlignment="1">
      <alignment horizontal="center" vertical="distributed" wrapText="1"/>
    </xf>
    <xf numFmtId="0" fontId="41" fillId="2" borderId="0" xfId="3" applyFont="1" applyFill="1" applyAlignment="1">
      <alignment horizontal="center" vertical="distributed" wrapText="1"/>
    </xf>
    <xf numFmtId="0" fontId="4" fillId="0" borderId="12" xfId="3" applyFont="1" applyBorder="1" applyAlignment="1">
      <alignment horizontal="center" wrapText="1"/>
    </xf>
    <xf numFmtId="1" fontId="4" fillId="2" borderId="21" xfId="3" applyNumberFormat="1" applyFont="1" applyFill="1" applyBorder="1" applyAlignment="1">
      <alignment horizontal="left" vertical="center" wrapText="1"/>
    </xf>
    <xf numFmtId="10" fontId="4" fillId="2" borderId="21" xfId="3" applyNumberFormat="1" applyFont="1" applyFill="1" applyBorder="1" applyAlignment="1">
      <alignment horizontal="center" vertical="center" wrapText="1"/>
    </xf>
    <xf numFmtId="4" fontId="4" fillId="2" borderId="21" xfId="3" applyNumberFormat="1" applyFont="1" applyFill="1" applyBorder="1" applyAlignment="1">
      <alignment horizontal="right" vertical="center" wrapText="1"/>
    </xf>
    <xf numFmtId="165" fontId="41" fillId="2" borderId="33" xfId="3" applyNumberFormat="1" applyFont="1" applyFill="1" applyBorder="1" applyAlignment="1">
      <alignment horizontal="right" vertical="center" wrapText="1"/>
    </xf>
    <xf numFmtId="14" fontId="24" fillId="2" borderId="0" xfId="4" applyNumberFormat="1" applyFont="1" applyFill="1" applyAlignment="1">
      <alignment horizontal="left" vertical="center"/>
    </xf>
    <xf numFmtId="0" fontId="36" fillId="2" borderId="34" xfId="3" applyFont="1" applyFill="1" applyBorder="1" applyAlignment="1">
      <alignment horizontal="center" vertical="center" wrapText="1"/>
    </xf>
    <xf numFmtId="1" fontId="36" fillId="0" borderId="31" xfId="3" applyNumberFormat="1" applyFont="1" applyBorder="1" applyAlignment="1">
      <alignment horizontal="left" vertical="center" wrapText="1"/>
    </xf>
    <xf numFmtId="1" fontId="36" fillId="0" borderId="34" xfId="3" applyNumberFormat="1" applyFont="1" applyBorder="1" applyAlignment="1">
      <alignment horizontal="left" vertical="center" wrapText="1"/>
    </xf>
    <xf numFmtId="1" fontId="3" fillId="2" borderId="17" xfId="3" applyNumberFormat="1" applyFont="1" applyFill="1" applyBorder="1" applyAlignment="1">
      <alignment horizontal="center" vertical="center" wrapText="1"/>
    </xf>
    <xf numFmtId="1" fontId="39" fillId="7" borderId="9" xfId="0" applyNumberFormat="1" applyFont="1" applyFill="1" applyBorder="1" applyAlignment="1">
      <alignment vertical="center"/>
    </xf>
    <xf numFmtId="0" fontId="39" fillId="7" borderId="9" xfId="0" applyFont="1" applyFill="1" applyBorder="1" applyAlignment="1">
      <alignment vertical="center"/>
    </xf>
    <xf numFmtId="0" fontId="36" fillId="2" borderId="17" xfId="3" applyFont="1" applyFill="1" applyBorder="1" applyAlignment="1">
      <alignment horizontal="center" vertical="center" wrapText="1"/>
    </xf>
    <xf numFmtId="0" fontId="3" fillId="2" borderId="33" xfId="3" applyFont="1" applyFill="1" applyBorder="1" applyAlignment="1">
      <alignment horizontal="center" vertical="distributed" wrapText="1"/>
    </xf>
    <xf numFmtId="1" fontId="41" fillId="0" borderId="33" xfId="3" applyNumberFormat="1" applyFont="1" applyBorder="1" applyAlignment="1">
      <alignment horizontal="left" vertical="center" wrapText="1"/>
    </xf>
    <xf numFmtId="2" fontId="41" fillId="2" borderId="30" xfId="3" applyNumberFormat="1" applyFont="1" applyFill="1" applyBorder="1" applyAlignment="1">
      <alignment horizontal="center" vertical="distributed" wrapText="1"/>
    </xf>
    <xf numFmtId="43" fontId="4" fillId="0" borderId="33" xfId="1" applyFont="1" applyBorder="1" applyAlignment="1">
      <alignment horizontal="right" vertical="center" wrapText="1"/>
    </xf>
    <xf numFmtId="0" fontId="0" fillId="0" borderId="2" xfId="0" applyBorder="1"/>
    <xf numFmtId="0" fontId="0" fillId="0" borderId="69" xfId="0" applyBorder="1"/>
    <xf numFmtId="0" fontId="0" fillId="9" borderId="7" xfId="0" applyFill="1" applyBorder="1" applyAlignment="1">
      <alignment horizontal="center"/>
    </xf>
    <xf numFmtId="44" fontId="0" fillId="0" borderId="0" xfId="0" applyNumberFormat="1"/>
    <xf numFmtId="0" fontId="0" fillId="0" borderId="7" xfId="0" applyBorder="1"/>
    <xf numFmtId="0" fontId="0" fillId="4" borderId="7" xfId="0" applyFill="1" applyBorder="1"/>
    <xf numFmtId="10" fontId="0" fillId="0" borderId="0" xfId="0" applyNumberFormat="1"/>
    <xf numFmtId="44" fontId="0" fillId="0" borderId="0" xfId="16" applyFont="1"/>
    <xf numFmtId="1" fontId="41" fillId="2" borderId="15" xfId="3" applyNumberFormat="1" applyFont="1" applyFill="1" applyBorder="1" applyAlignment="1">
      <alignment horizontal="center" vertical="center" wrapText="1"/>
    </xf>
    <xf numFmtId="43" fontId="41" fillId="2" borderId="23" xfId="1" applyFont="1" applyFill="1" applyBorder="1" applyAlignment="1">
      <alignment horizontal="center" vertical="distributed" wrapText="1"/>
    </xf>
    <xf numFmtId="1" fontId="4" fillId="0" borderId="0" xfId="3" applyNumberFormat="1" applyFont="1" applyAlignment="1">
      <alignment horizontal="left" vertical="center" wrapText="1"/>
    </xf>
    <xf numFmtId="2" fontId="4" fillId="0" borderId="4" xfId="3" applyNumberFormat="1" applyFont="1" applyBorder="1" applyAlignment="1">
      <alignment horizontal="center" vertical="center" wrapText="1"/>
    </xf>
    <xf numFmtId="1" fontId="4" fillId="0" borderId="15" xfId="3" applyNumberFormat="1" applyFont="1" applyBorder="1" applyAlignment="1">
      <alignment horizontal="left" vertical="center" wrapText="1"/>
    </xf>
    <xf numFmtId="2" fontId="4" fillId="2" borderId="33" xfId="1" applyNumberFormat="1" applyFont="1" applyFill="1" applyBorder="1" applyAlignment="1">
      <alignment horizontal="center" vertical="center" wrapText="1"/>
    </xf>
    <xf numFmtId="0" fontId="4" fillId="0" borderId="15" xfId="3" applyFont="1" applyBorder="1" applyAlignment="1">
      <alignment horizontal="center" vertical="center"/>
    </xf>
    <xf numFmtId="49" fontId="41" fillId="2" borderId="17" xfId="12" applyNumberFormat="1" applyFont="1" applyFill="1" applyBorder="1" applyAlignment="1">
      <alignment horizontal="center" vertical="center" wrapText="1"/>
    </xf>
    <xf numFmtId="165" fontId="2" fillId="2" borderId="17" xfId="3" applyNumberFormat="1" applyFill="1" applyBorder="1" applyAlignment="1">
      <alignment horizontal="right"/>
    </xf>
    <xf numFmtId="44" fontId="0" fillId="0" borderId="8" xfId="16" applyFont="1" applyBorder="1" applyAlignment="1">
      <alignment vertical="center"/>
    </xf>
    <xf numFmtId="44" fontId="0" fillId="0" borderId="9" xfId="16" applyFont="1" applyBorder="1" applyAlignment="1">
      <alignment vertical="center"/>
    </xf>
    <xf numFmtId="44" fontId="0" fillId="0" borderId="10" xfId="16" applyFont="1" applyBorder="1" applyAlignment="1">
      <alignment vertical="center"/>
    </xf>
    <xf numFmtId="1" fontId="47" fillId="2" borderId="17" xfId="3" applyNumberFormat="1" applyFont="1" applyFill="1" applyBorder="1" applyAlignment="1">
      <alignment horizontal="center" vertical="center" wrapText="1"/>
    </xf>
    <xf numFmtId="0" fontId="41" fillId="2" borderId="5" xfId="3" applyFont="1" applyFill="1" applyBorder="1" applyAlignment="1">
      <alignment horizontal="center" vertical="distributed" wrapText="1"/>
    </xf>
    <xf numFmtId="0" fontId="41" fillId="2" borderId="0" xfId="3" applyFont="1" applyFill="1" applyAlignment="1">
      <alignment horizontal="center" vertical="top" wrapText="1"/>
    </xf>
    <xf numFmtId="165" fontId="41" fillId="2" borderId="17" xfId="3" applyNumberFormat="1" applyFont="1" applyFill="1" applyBorder="1" applyAlignment="1">
      <alignment horizontal="right" vertical="center" wrapText="1"/>
    </xf>
    <xf numFmtId="171" fontId="41" fillId="2" borderId="0" xfId="3" applyNumberFormat="1" applyFont="1" applyFill="1" applyAlignment="1">
      <alignment horizontal="center" vertical="center" wrapText="1"/>
    </xf>
    <xf numFmtId="168" fontId="0" fillId="0" borderId="0" xfId="0" applyNumberFormat="1"/>
    <xf numFmtId="1" fontId="47" fillId="0" borderId="23" xfId="3" applyNumberFormat="1" applyFont="1" applyBorder="1" applyAlignment="1">
      <alignment horizontal="center" vertical="center" wrapText="1"/>
    </xf>
    <xf numFmtId="14" fontId="41" fillId="0" borderId="14" xfId="3" applyNumberFormat="1" applyFont="1" applyBorder="1" applyAlignment="1">
      <alignment horizontal="center" vertical="center" wrapText="1"/>
    </xf>
    <xf numFmtId="14" fontId="41" fillId="0" borderId="15" xfId="3" applyNumberFormat="1" applyFont="1" applyBorder="1" applyAlignment="1">
      <alignment horizontal="center" vertical="center" wrapText="1"/>
    </xf>
    <xf numFmtId="14" fontId="41" fillId="0" borderId="16" xfId="3" applyNumberFormat="1" applyFont="1" applyBorder="1" applyAlignment="1">
      <alignment horizontal="center" vertical="center" wrapText="1"/>
    </xf>
    <xf numFmtId="14" fontId="41" fillId="0" borderId="14" xfId="3" applyNumberFormat="1" applyFont="1" applyBorder="1" applyAlignment="1">
      <alignment horizontal="center" vertical="distributed" wrapText="1"/>
    </xf>
    <xf numFmtId="14" fontId="41" fillId="0" borderId="15" xfId="3" applyNumberFormat="1" applyFont="1" applyBorder="1" applyAlignment="1">
      <alignment horizontal="center" vertical="distributed" wrapText="1"/>
    </xf>
    <xf numFmtId="14" fontId="41" fillId="0" borderId="16" xfId="3" applyNumberFormat="1" applyFont="1" applyBorder="1" applyAlignment="1">
      <alignment horizontal="center" vertical="distributed" wrapText="1"/>
    </xf>
    <xf numFmtId="1" fontId="3" fillId="0" borderId="23" xfId="3" applyNumberFormat="1" applyFont="1" applyBorder="1" applyAlignment="1">
      <alignment horizontal="center" vertical="center" wrapText="1"/>
    </xf>
    <xf numFmtId="0" fontId="4" fillId="0" borderId="23" xfId="3" applyFont="1" applyBorder="1" applyAlignment="1">
      <alignment horizontal="center" vertical="distributed" wrapText="1"/>
    </xf>
    <xf numFmtId="0" fontId="41" fillId="0" borderId="16" xfId="3" applyFont="1" applyBorder="1" applyAlignment="1">
      <alignment horizontal="left" vertical="distributed" wrapText="1"/>
    </xf>
    <xf numFmtId="0" fontId="4" fillId="0" borderId="14" xfId="3" applyFont="1" applyBorder="1" applyAlignment="1">
      <alignment horizontal="center" vertical="distributed" wrapText="1"/>
    </xf>
    <xf numFmtId="43" fontId="4" fillId="0" borderId="14" xfId="1" applyFont="1" applyFill="1" applyBorder="1" applyAlignment="1">
      <alignment horizontal="center" vertical="distributed" wrapText="1"/>
    </xf>
    <xf numFmtId="172" fontId="4" fillId="0" borderId="23" xfId="1" applyNumberFormat="1" applyFont="1" applyFill="1" applyBorder="1" applyAlignment="1">
      <alignment horizontal="right" vertical="distributed" wrapText="1"/>
    </xf>
    <xf numFmtId="1" fontId="41" fillId="0" borderId="0" xfId="3" applyNumberFormat="1" applyFont="1" applyAlignment="1">
      <alignment horizontal="left" vertical="top" wrapText="1"/>
    </xf>
    <xf numFmtId="2" fontId="41" fillId="2" borderId="5" xfId="3" applyNumberFormat="1" applyFont="1" applyFill="1" applyBorder="1" applyAlignment="1">
      <alignment horizontal="center" vertical="center" wrapText="1"/>
    </xf>
    <xf numFmtId="174" fontId="4" fillId="0" borderId="32" xfId="3" applyNumberFormat="1" applyFont="1" applyBorder="1" applyAlignment="1">
      <alignment horizontal="center" vertical="center" wrapText="1"/>
    </xf>
    <xf numFmtId="44" fontId="0" fillId="0" borderId="0" xfId="16" applyFont="1" applyFill="1"/>
    <xf numFmtId="1" fontId="41" fillId="0" borderId="0" xfId="3" applyNumberFormat="1" applyFont="1" applyAlignment="1">
      <alignment horizontal="left" vertical="center" wrapText="1"/>
    </xf>
    <xf numFmtId="165" fontId="4" fillId="2" borderId="33" xfId="3" applyNumberFormat="1" applyFont="1" applyFill="1" applyBorder="1" applyAlignment="1">
      <alignment horizontal="center" vertical="top" wrapText="1"/>
    </xf>
    <xf numFmtId="1" fontId="4" fillId="0" borderId="23" xfId="3" applyNumberFormat="1" applyFont="1" applyBorder="1" applyAlignment="1">
      <alignment horizontal="left" vertical="center"/>
    </xf>
    <xf numFmtId="1" fontId="4" fillId="0" borderId="33" xfId="3" applyNumberFormat="1" applyFont="1" applyBorder="1" applyAlignment="1">
      <alignment horizontal="left" vertical="center"/>
    </xf>
    <xf numFmtId="0" fontId="4" fillId="2" borderId="33" xfId="12" applyFont="1" applyFill="1" applyBorder="1" applyAlignment="1">
      <alignment horizontal="left" vertical="center"/>
    </xf>
    <xf numFmtId="0" fontId="4" fillId="2" borderId="23" xfId="12" applyFont="1" applyFill="1" applyBorder="1" applyAlignment="1">
      <alignment horizontal="left" vertical="center"/>
    </xf>
    <xf numFmtId="1" fontId="4" fillId="0" borderId="17" xfId="3" applyNumberFormat="1" applyFont="1" applyBorder="1" applyAlignment="1">
      <alignment horizontal="left" vertical="center"/>
    </xf>
    <xf numFmtId="1" fontId="41" fillId="0" borderId="0" xfId="3" applyNumberFormat="1" applyFont="1" applyAlignment="1">
      <alignment horizontal="left" vertical="center"/>
    </xf>
    <xf numFmtId="2" fontId="41" fillId="2" borderId="5" xfId="3" applyNumberFormat="1" applyFont="1" applyFill="1" applyBorder="1" applyAlignment="1">
      <alignment horizontal="center" vertical="distributed" wrapText="1"/>
    </xf>
    <xf numFmtId="0" fontId="41" fillId="0" borderId="0" xfId="3" applyFont="1" applyAlignment="1">
      <alignment horizontal="center" vertical="center" wrapText="1"/>
    </xf>
    <xf numFmtId="171" fontId="4" fillId="2" borderId="0" xfId="3" applyNumberFormat="1" applyFont="1" applyFill="1" applyAlignment="1">
      <alignment horizontal="center" vertical="center" wrapText="1"/>
    </xf>
    <xf numFmtId="0" fontId="4" fillId="2" borderId="5" xfId="3" applyFont="1" applyFill="1" applyBorder="1" applyAlignment="1">
      <alignment horizontal="left" vertical="distributed" wrapText="1"/>
    </xf>
    <xf numFmtId="2" fontId="41" fillId="0" borderId="33" xfId="3" applyNumberFormat="1" applyFont="1" applyBorder="1" applyAlignment="1">
      <alignment horizontal="center" vertical="center" wrapText="1"/>
    </xf>
    <xf numFmtId="174" fontId="41" fillId="0" borderId="33" xfId="3" applyNumberFormat="1" applyFont="1" applyBorder="1" applyAlignment="1">
      <alignment horizontal="right" vertical="center" wrapText="1"/>
    </xf>
    <xf numFmtId="1" fontId="3" fillId="0" borderId="20" xfId="3" applyNumberFormat="1" applyFont="1" applyBorder="1" applyAlignment="1">
      <alignment horizontal="center" vertical="center" wrapText="1"/>
    </xf>
    <xf numFmtId="2" fontId="4" fillId="0" borderId="35" xfId="3" applyNumberFormat="1" applyFont="1" applyBorder="1" applyAlignment="1">
      <alignment horizontal="center" vertical="center" wrapText="1"/>
    </xf>
    <xf numFmtId="2" fontId="4" fillId="0" borderId="28" xfId="3" applyNumberFormat="1" applyFont="1" applyBorder="1" applyAlignment="1">
      <alignment horizontal="center" vertical="center" wrapText="1"/>
    </xf>
    <xf numFmtId="2" fontId="4" fillId="0" borderId="36" xfId="3" applyNumberFormat="1" applyFont="1" applyBorder="1" applyAlignment="1">
      <alignment horizontal="center" vertical="center" wrapText="1"/>
    </xf>
    <xf numFmtId="43" fontId="4" fillId="0" borderId="33" xfId="1" applyFont="1" applyFill="1" applyBorder="1" applyAlignment="1">
      <alignment horizontal="right" vertical="center" wrapText="1"/>
    </xf>
    <xf numFmtId="2" fontId="4" fillId="2" borderId="0" xfId="3" applyNumberFormat="1" applyFont="1" applyFill="1" applyAlignment="1">
      <alignment horizontal="left" vertical="center" wrapText="1"/>
    </xf>
    <xf numFmtId="43" fontId="41" fillId="2" borderId="5" xfId="1" applyFont="1" applyFill="1" applyBorder="1" applyAlignment="1">
      <alignment horizontal="center" vertical="center" wrapText="1"/>
    </xf>
    <xf numFmtId="2" fontId="4" fillId="0" borderId="17" xfId="3" applyNumberFormat="1" applyFont="1" applyBorder="1" applyAlignment="1">
      <alignment horizontal="center" vertical="center" wrapText="1"/>
    </xf>
    <xf numFmtId="0" fontId="4" fillId="0" borderId="5" xfId="3" applyFont="1" applyBorder="1" applyAlignment="1">
      <alignment horizontal="center" vertical="center" wrapText="1"/>
    </xf>
    <xf numFmtId="0" fontId="4" fillId="0" borderId="0" xfId="3" applyFont="1" applyAlignment="1">
      <alignment horizontal="center" vertical="center" wrapText="1"/>
    </xf>
    <xf numFmtId="0" fontId="4" fillId="0" borderId="17" xfId="3" applyFont="1" applyBorder="1" applyAlignment="1">
      <alignment horizontal="center" vertical="top" wrapText="1"/>
    </xf>
    <xf numFmtId="165" fontId="4" fillId="0" borderId="17" xfId="3" applyNumberFormat="1" applyFont="1" applyBorder="1" applyAlignment="1">
      <alignment horizontal="right" vertical="center" wrapText="1"/>
    </xf>
    <xf numFmtId="43" fontId="73" fillId="0" borderId="0" xfId="0" applyNumberFormat="1" applyFont="1"/>
    <xf numFmtId="43" fontId="0" fillId="0" borderId="0" xfId="1" applyFont="1"/>
    <xf numFmtId="0" fontId="44" fillId="2" borderId="21" xfId="3" applyFont="1" applyFill="1" applyBorder="1" applyAlignment="1">
      <alignment horizontal="center" vertical="center" wrapText="1"/>
    </xf>
    <xf numFmtId="0" fontId="44" fillId="2" borderId="0" xfId="3" applyFont="1" applyFill="1" applyAlignment="1">
      <alignment horizontal="center" vertical="center" wrapText="1"/>
    </xf>
    <xf numFmtId="0" fontId="44" fillId="2" borderId="15" xfId="3" applyFont="1" applyFill="1" applyBorder="1" applyAlignment="1">
      <alignment horizontal="center" vertical="center" wrapText="1"/>
    </xf>
    <xf numFmtId="0" fontId="44" fillId="0" borderId="15" xfId="3" applyFont="1" applyBorder="1" applyAlignment="1">
      <alignment horizontal="center" vertical="center" wrapText="1"/>
    </xf>
    <xf numFmtId="1" fontId="4" fillId="0" borderId="21" xfId="3" applyNumberFormat="1" applyFont="1" applyBorder="1" applyAlignment="1">
      <alignment horizontal="left" vertical="center"/>
    </xf>
    <xf numFmtId="1" fontId="39" fillId="0" borderId="17" xfId="3" applyNumberFormat="1" applyFont="1" applyBorder="1" applyAlignment="1">
      <alignment horizontal="left" vertical="center"/>
    </xf>
    <xf numFmtId="2" fontId="41" fillId="0" borderId="32" xfId="3" applyNumberFormat="1" applyFont="1" applyBorder="1" applyAlignment="1">
      <alignment horizontal="center" vertical="center" wrapText="1"/>
    </xf>
    <xf numFmtId="2" fontId="41" fillId="2" borderId="32" xfId="3" applyNumberFormat="1" applyFont="1" applyFill="1" applyBorder="1" applyAlignment="1">
      <alignment horizontal="center" vertical="distributed" wrapText="1"/>
    </xf>
    <xf numFmtId="0" fontId="23" fillId="2" borderId="0" xfId="0" applyFont="1" applyFill="1" applyAlignment="1">
      <alignment horizontal="center" vertical="center"/>
    </xf>
    <xf numFmtId="0" fontId="41" fillId="0" borderId="40" xfId="3" applyFont="1" applyBorder="1" applyAlignment="1">
      <alignment horizontal="center" wrapText="1"/>
    </xf>
    <xf numFmtId="2" fontId="41" fillId="0" borderId="40" xfId="3" applyNumberFormat="1" applyFont="1" applyBorder="1" applyAlignment="1">
      <alignment horizontal="center" vertical="center" wrapText="1"/>
    </xf>
    <xf numFmtId="2" fontId="41" fillId="0" borderId="30" xfId="3" applyNumberFormat="1" applyFont="1" applyBorder="1" applyAlignment="1">
      <alignment horizontal="center" vertical="center" wrapText="1"/>
    </xf>
    <xf numFmtId="0" fontId="52" fillId="0" borderId="0" xfId="3" applyFont="1"/>
    <xf numFmtId="174" fontId="42" fillId="0" borderId="9" xfId="3" applyNumberFormat="1" applyFont="1" applyBorder="1" applyAlignment="1">
      <alignment vertical="center" wrapText="1"/>
    </xf>
    <xf numFmtId="0" fontId="42" fillId="0" borderId="9" xfId="3" applyFont="1" applyBorder="1" applyAlignment="1">
      <alignment vertical="center" wrapText="1"/>
    </xf>
    <xf numFmtId="0" fontId="2" fillId="0" borderId="21" xfId="0" applyFont="1" applyBorder="1" applyAlignment="1">
      <alignment horizontal="center" vertical="center"/>
    </xf>
    <xf numFmtId="1" fontId="2" fillId="0" borderId="21" xfId="9" applyNumberFormat="1" applyFont="1" applyBorder="1" applyAlignment="1">
      <alignment horizontal="center" vertical="center" wrapText="1"/>
    </xf>
    <xf numFmtId="1" fontId="2" fillId="0" borderId="5" xfId="5" applyNumberFormat="1" applyFont="1" applyBorder="1" applyAlignment="1">
      <alignment horizontal="center" vertical="center" wrapText="1"/>
    </xf>
    <xf numFmtId="0" fontId="22" fillId="0" borderId="16" xfId="3" applyFont="1" applyBorder="1" applyAlignment="1">
      <alignment wrapText="1"/>
    </xf>
    <xf numFmtId="0" fontId="41" fillId="2" borderId="31" xfId="3" applyFont="1" applyFill="1" applyBorder="1" applyAlignment="1">
      <alignment horizontal="center" vertical="center" wrapText="1"/>
    </xf>
    <xf numFmtId="0" fontId="41" fillId="2" borderId="31" xfId="3" applyFont="1" applyFill="1" applyBorder="1" applyAlignment="1">
      <alignment horizontal="center" vertical="top" wrapText="1"/>
    </xf>
    <xf numFmtId="165" fontId="4" fillId="2" borderId="23" xfId="3" applyNumberFormat="1" applyFont="1" applyFill="1" applyBorder="1" applyAlignment="1">
      <alignment horizontal="center" vertical="center" wrapText="1"/>
    </xf>
    <xf numFmtId="1" fontId="4" fillId="0" borderId="21" xfId="3" applyNumberFormat="1" applyFont="1" applyBorder="1" applyAlignment="1">
      <alignment vertical="center" wrapText="1"/>
    </xf>
    <xf numFmtId="0" fontId="4" fillId="2" borderId="21" xfId="3" applyFont="1" applyFill="1" applyBorder="1" applyAlignment="1">
      <alignment horizontal="left" vertical="center" wrapText="1"/>
    </xf>
    <xf numFmtId="172" fontId="4" fillId="2" borderId="33" xfId="1" applyNumberFormat="1" applyFont="1" applyFill="1" applyBorder="1" applyAlignment="1">
      <alignment horizontal="center" vertical="center" wrapText="1"/>
    </xf>
    <xf numFmtId="172" fontId="4" fillId="2" borderId="23" xfId="1" applyNumberFormat="1" applyFont="1" applyFill="1" applyBorder="1" applyAlignment="1">
      <alignment horizontal="center" vertical="center" wrapText="1"/>
    </xf>
    <xf numFmtId="49" fontId="4" fillId="2" borderId="20" xfId="12" applyNumberFormat="1" applyFont="1" applyFill="1" applyBorder="1" applyAlignment="1">
      <alignment horizontal="center" vertical="center" wrapText="1"/>
    </xf>
    <xf numFmtId="1" fontId="4" fillId="0" borderId="20" xfId="3" applyNumberFormat="1" applyFont="1" applyBorder="1" applyAlignment="1">
      <alignment horizontal="left" vertical="center"/>
    </xf>
    <xf numFmtId="0" fontId="4" fillId="2" borderId="36" xfId="3" applyFont="1" applyFill="1" applyBorder="1" applyAlignment="1">
      <alignment horizontal="center" vertical="center" wrapText="1"/>
    </xf>
    <xf numFmtId="2" fontId="4" fillId="2" borderId="35" xfId="3" applyNumberFormat="1" applyFont="1" applyFill="1" applyBorder="1" applyAlignment="1">
      <alignment horizontal="center" vertical="distributed" wrapText="1"/>
    </xf>
    <xf numFmtId="0" fontId="4" fillId="2" borderId="36" xfId="3" applyFont="1" applyFill="1" applyBorder="1" applyAlignment="1">
      <alignment horizontal="center" vertical="distributed" wrapText="1"/>
    </xf>
    <xf numFmtId="2" fontId="4" fillId="2" borderId="28" xfId="3" applyNumberFormat="1" applyFont="1" applyFill="1" applyBorder="1" applyAlignment="1">
      <alignment horizontal="center" vertical="distributed" wrapText="1"/>
    </xf>
    <xf numFmtId="43" fontId="4" fillId="2" borderId="28" xfId="1" applyFont="1" applyFill="1" applyBorder="1" applyAlignment="1">
      <alignment horizontal="center" vertical="center" wrapText="1"/>
    </xf>
    <xf numFmtId="43" fontId="4" fillId="2" borderId="36" xfId="1" applyFont="1" applyFill="1" applyBorder="1" applyAlignment="1">
      <alignment horizontal="center" vertical="center" wrapText="1"/>
    </xf>
    <xf numFmtId="0" fontId="4" fillId="2" borderId="28" xfId="3" applyFont="1" applyFill="1" applyBorder="1" applyAlignment="1">
      <alignment horizontal="center" vertical="center" wrapText="1"/>
    </xf>
    <xf numFmtId="0" fontId="27" fillId="0" borderId="23" xfId="0" applyFont="1" applyBorder="1"/>
    <xf numFmtId="2" fontId="27" fillId="0" borderId="14" xfId="3" applyNumberFormat="1" applyFont="1" applyBorder="1" applyAlignment="1">
      <alignment horizontal="center" vertical="center" wrapText="1"/>
    </xf>
    <xf numFmtId="2" fontId="27" fillId="0" borderId="15" xfId="3" applyNumberFormat="1" applyFont="1" applyBorder="1" applyAlignment="1">
      <alignment vertical="center" wrapText="1"/>
    </xf>
    <xf numFmtId="2" fontId="27" fillId="0" borderId="16" xfId="3" applyNumberFormat="1" applyFont="1" applyBorder="1" applyAlignment="1">
      <alignment horizontal="center" vertical="center" wrapText="1"/>
    </xf>
    <xf numFmtId="2" fontId="27" fillId="2" borderId="23" xfId="3" applyNumberFormat="1" applyFont="1" applyFill="1" applyBorder="1" applyAlignment="1">
      <alignment horizontal="center" vertical="center"/>
    </xf>
    <xf numFmtId="0" fontId="27" fillId="0" borderId="23" xfId="1" applyNumberFormat="1" applyFont="1" applyFill="1" applyBorder="1" applyAlignment="1">
      <alignment horizontal="center" vertical="center"/>
    </xf>
    <xf numFmtId="43" fontId="27" fillId="0" borderId="23" xfId="1" applyFont="1" applyFill="1" applyBorder="1" applyAlignment="1">
      <alignment horizontal="center" vertical="center"/>
    </xf>
    <xf numFmtId="2" fontId="27" fillId="0" borderId="23" xfId="1" applyNumberFormat="1" applyFont="1" applyFill="1" applyBorder="1" applyAlignment="1">
      <alignment horizontal="center" vertical="center"/>
    </xf>
    <xf numFmtId="2" fontId="27" fillId="0" borderId="23" xfId="3" applyNumberFormat="1" applyFont="1" applyBorder="1" applyAlignment="1">
      <alignment horizontal="center" vertical="center" wrapText="1"/>
    </xf>
    <xf numFmtId="43" fontId="27" fillId="0" borderId="23" xfId="1" applyFont="1" applyFill="1" applyBorder="1" applyAlignment="1">
      <alignment horizontal="center" vertical="center" wrapText="1"/>
    </xf>
    <xf numFmtId="2" fontId="27" fillId="0" borderId="23" xfId="1" applyNumberFormat="1" applyFont="1" applyFill="1" applyBorder="1" applyAlignment="1">
      <alignment horizontal="center" vertical="center" wrapText="1"/>
    </xf>
    <xf numFmtId="2" fontId="27" fillId="0" borderId="14" xfId="3" applyNumberFormat="1" applyFont="1" applyBorder="1" applyAlignment="1">
      <alignment horizontal="center" vertical="center"/>
    </xf>
    <xf numFmtId="2" fontId="27" fillId="0" borderId="15" xfId="3" applyNumberFormat="1" applyFont="1" applyBorder="1" applyAlignment="1">
      <alignment vertical="center"/>
    </xf>
    <xf numFmtId="2" fontId="27" fillId="0" borderId="16" xfId="3" applyNumberFormat="1" applyFont="1" applyBorder="1" applyAlignment="1">
      <alignment horizontal="center" vertical="center"/>
    </xf>
    <xf numFmtId="43" fontId="4" fillId="0" borderId="16" xfId="1" applyFont="1" applyFill="1" applyBorder="1" applyAlignment="1">
      <alignment horizontal="center" vertical="center" wrapText="1"/>
    </xf>
    <xf numFmtId="2" fontId="4" fillId="0" borderId="15" xfId="1" applyNumberFormat="1" applyFont="1" applyFill="1" applyBorder="1" applyAlignment="1">
      <alignment horizontal="center" vertical="center" wrapText="1"/>
    </xf>
    <xf numFmtId="43" fontId="4" fillId="0" borderId="23" xfId="1" applyFont="1" applyBorder="1" applyAlignment="1">
      <alignment horizontal="right" vertical="center" wrapText="1"/>
    </xf>
    <xf numFmtId="43" fontId="4" fillId="0" borderId="40" xfId="1" applyFont="1" applyFill="1" applyBorder="1" applyAlignment="1">
      <alignment horizontal="right" vertical="center" wrapText="1"/>
    </xf>
    <xf numFmtId="43" fontId="4" fillId="0" borderId="0" xfId="1" applyFont="1" applyFill="1" applyBorder="1" applyAlignment="1">
      <alignment horizontal="right" vertical="center" wrapText="1"/>
    </xf>
    <xf numFmtId="43" fontId="4" fillId="0" borderId="5" xfId="1" applyFont="1" applyFill="1" applyBorder="1" applyAlignment="1">
      <alignment horizontal="center" vertical="center" wrapText="1"/>
    </xf>
    <xf numFmtId="43" fontId="4" fillId="0" borderId="28" xfId="1" applyFont="1" applyFill="1" applyBorder="1" applyAlignment="1">
      <alignment horizontal="center" vertical="center" wrapText="1"/>
    </xf>
    <xf numFmtId="2" fontId="44" fillId="0" borderId="35" xfId="3" applyNumberFormat="1" applyFont="1" applyBorder="1" applyAlignment="1">
      <alignment horizontal="center" vertical="center" wrapText="1"/>
    </xf>
    <xf numFmtId="43" fontId="44" fillId="0" borderId="36" xfId="1" applyFont="1" applyFill="1" applyBorder="1" applyAlignment="1">
      <alignment horizontal="right" vertical="center" wrapText="1"/>
    </xf>
    <xf numFmtId="2" fontId="75" fillId="6" borderId="0" xfId="3" applyNumberFormat="1" applyFont="1" applyFill="1" applyAlignment="1">
      <alignment horizontal="center" vertical="center"/>
    </xf>
    <xf numFmtId="2" fontId="75" fillId="2" borderId="0" xfId="3" applyNumberFormat="1" applyFont="1" applyFill="1" applyAlignment="1">
      <alignment horizontal="center" vertical="center"/>
    </xf>
    <xf numFmtId="2" fontId="75" fillId="0" borderId="0" xfId="3" applyNumberFormat="1" applyFont="1" applyAlignment="1">
      <alignment horizontal="center" vertical="center"/>
    </xf>
    <xf numFmtId="2" fontId="76" fillId="2" borderId="0" xfId="3" applyNumberFormat="1" applyFont="1" applyFill="1" applyAlignment="1">
      <alignment horizontal="center" vertical="center"/>
    </xf>
    <xf numFmtId="2" fontId="77" fillId="2" borderId="0" xfId="3" applyNumberFormat="1" applyFont="1" applyFill="1" applyAlignment="1">
      <alignment horizontal="center" vertical="center"/>
    </xf>
    <xf numFmtId="2" fontId="76" fillId="6" borderId="0" xfId="3" applyNumberFormat="1" applyFont="1" applyFill="1" applyAlignment="1">
      <alignment horizontal="center" vertical="center"/>
    </xf>
    <xf numFmtId="2" fontId="76" fillId="0" borderId="0" xfId="3" applyNumberFormat="1" applyFont="1" applyAlignment="1">
      <alignment horizontal="center" vertical="center"/>
    </xf>
    <xf numFmtId="2" fontId="77" fillId="6" borderId="0" xfId="3" applyNumberFormat="1" applyFont="1" applyFill="1" applyAlignment="1">
      <alignment horizontal="center" vertical="center"/>
    </xf>
    <xf numFmtId="0" fontId="0" fillId="0" borderId="53" xfId="0" applyBorder="1"/>
    <xf numFmtId="165" fontId="4" fillId="2" borderId="16" xfId="3" applyNumberFormat="1" applyFont="1" applyFill="1" applyBorder="1" applyAlignment="1">
      <alignment horizontal="center" vertical="center" wrapText="1"/>
    </xf>
    <xf numFmtId="49" fontId="41" fillId="0" borderId="33" xfId="12" applyNumberFormat="1" applyFont="1" applyBorder="1" applyAlignment="1">
      <alignment horizontal="center" vertical="center" wrapText="1"/>
    </xf>
    <xf numFmtId="176" fontId="41" fillId="2" borderId="40" xfId="3" applyNumberFormat="1" applyFont="1" applyFill="1" applyBorder="1" applyAlignment="1">
      <alignment horizontal="center" vertical="center" wrapText="1"/>
    </xf>
    <xf numFmtId="176" fontId="41" fillId="2" borderId="40" xfId="3" applyNumberFormat="1" applyFont="1" applyFill="1" applyBorder="1" applyAlignment="1">
      <alignment horizontal="center" vertical="distributed" wrapText="1"/>
    </xf>
    <xf numFmtId="176" fontId="41" fillId="2" borderId="33" xfId="3" applyNumberFormat="1" applyFont="1" applyFill="1" applyBorder="1" applyAlignment="1">
      <alignment horizontal="center" vertical="center" wrapText="1"/>
    </xf>
    <xf numFmtId="174" fontId="41" fillId="2" borderId="32" xfId="3" applyNumberFormat="1" applyFont="1" applyFill="1" applyBorder="1" applyAlignment="1">
      <alignment horizontal="center" vertical="center" wrapText="1"/>
    </xf>
    <xf numFmtId="0" fontId="41" fillId="0" borderId="33" xfId="3" applyFont="1" applyBorder="1" applyAlignment="1">
      <alignment horizontal="left" vertical="distributed" wrapText="1"/>
    </xf>
    <xf numFmtId="171" fontId="4" fillId="2" borderId="15" xfId="3" applyNumberFormat="1" applyFont="1" applyFill="1" applyBorder="1" applyAlignment="1">
      <alignment horizontal="center" vertical="center" wrapText="1"/>
    </xf>
    <xf numFmtId="165" fontId="4" fillId="2" borderId="84" xfId="3" applyNumberFormat="1" applyFont="1" applyFill="1" applyBorder="1" applyAlignment="1">
      <alignment horizontal="right" vertical="center" wrapText="1"/>
    </xf>
    <xf numFmtId="165" fontId="4" fillId="2" borderId="20" xfId="3" applyNumberFormat="1" applyFont="1" applyFill="1" applyBorder="1" applyAlignment="1">
      <alignment horizontal="right" vertical="center" wrapText="1"/>
    </xf>
    <xf numFmtId="1" fontId="36" fillId="2" borderId="84" xfId="0" applyNumberFormat="1" applyFont="1" applyFill="1" applyBorder="1" applyAlignment="1">
      <alignment vertical="center" wrapText="1"/>
    </xf>
    <xf numFmtId="0" fontId="39" fillId="0" borderId="83" xfId="3" applyFont="1" applyBorder="1" applyAlignment="1">
      <alignment horizontal="center" wrapText="1"/>
    </xf>
    <xf numFmtId="0" fontId="4" fillId="2" borderId="85" xfId="3" applyFont="1" applyFill="1" applyBorder="1" applyAlignment="1">
      <alignment horizontal="center" vertical="center" wrapText="1"/>
    </xf>
    <xf numFmtId="1" fontId="3" fillId="2" borderId="84" xfId="3" applyNumberFormat="1" applyFont="1" applyFill="1" applyBorder="1" applyAlignment="1">
      <alignment horizontal="center" vertical="center" wrapText="1"/>
    </xf>
    <xf numFmtId="0" fontId="60" fillId="3" borderId="9" xfId="0" applyFont="1" applyFill="1" applyBorder="1" applyAlignment="1">
      <alignment horizontal="center"/>
    </xf>
    <xf numFmtId="0" fontId="61" fillId="3" borderId="9" xfId="0" applyFont="1" applyFill="1" applyBorder="1" applyAlignment="1">
      <alignment horizontal="center" vertical="center"/>
    </xf>
    <xf numFmtId="0" fontId="54" fillId="0" borderId="49" xfId="0" applyFont="1" applyBorder="1"/>
    <xf numFmtId="0" fontId="0" fillId="0" borderId="52" xfId="0" applyBorder="1"/>
    <xf numFmtId="0" fontId="54" fillId="0" borderId="50" xfId="0" applyFont="1" applyBorder="1"/>
    <xf numFmtId="0" fontId="57" fillId="0" borderId="0" xfId="0" applyFont="1" applyAlignment="1">
      <alignment horizontal="center" vertical="center"/>
    </xf>
    <xf numFmtId="10" fontId="0" fillId="4" borderId="8" xfId="2" applyNumberFormat="1" applyFont="1" applyFill="1" applyBorder="1" applyAlignment="1"/>
    <xf numFmtId="10" fontId="0" fillId="4" borderId="9" xfId="2" applyNumberFormat="1" applyFont="1" applyFill="1" applyBorder="1" applyAlignment="1"/>
    <xf numFmtId="10" fontId="0" fillId="4" borderId="10" xfId="2" applyNumberFormat="1" applyFont="1" applyFill="1" applyBorder="1" applyAlignment="1"/>
    <xf numFmtId="0" fontId="4" fillId="2" borderId="83" xfId="3" applyFont="1" applyFill="1" applyBorder="1" applyAlignment="1">
      <alignment horizontal="center" vertical="center" wrapText="1"/>
    </xf>
    <xf numFmtId="0" fontId="3" fillId="2" borderId="20" xfId="3" applyFont="1" applyFill="1" applyBorder="1" applyAlignment="1">
      <alignment horizontal="center" vertical="distributed" wrapText="1"/>
    </xf>
    <xf numFmtId="1" fontId="4" fillId="0" borderId="20" xfId="3" applyNumberFormat="1" applyFont="1" applyBorder="1" applyAlignment="1">
      <alignment horizontal="center" vertical="top" wrapText="1"/>
    </xf>
    <xf numFmtId="1" fontId="4" fillId="0" borderId="31" xfId="3" applyNumberFormat="1" applyFont="1" applyBorder="1" applyAlignment="1">
      <alignment vertical="center" wrapText="1"/>
    </xf>
    <xf numFmtId="3" fontId="4" fillId="0" borderId="23" xfId="3" applyNumberFormat="1" applyFont="1" applyBorder="1" applyAlignment="1">
      <alignment horizontal="right" vertical="center" wrapText="1"/>
    </xf>
    <xf numFmtId="0" fontId="3" fillId="0" borderId="14" xfId="3" applyFont="1" applyBorder="1" applyAlignment="1">
      <alignment horizontal="center" vertical="center" wrapText="1"/>
    </xf>
    <xf numFmtId="0" fontId="3" fillId="0" borderId="15" xfId="3" applyFont="1" applyBorder="1" applyAlignment="1">
      <alignment horizontal="center" vertical="center" wrapText="1"/>
    </xf>
    <xf numFmtId="0" fontId="3" fillId="0" borderId="16" xfId="3" applyFont="1" applyBorder="1" applyAlignment="1">
      <alignment horizontal="center" vertical="center" wrapText="1"/>
    </xf>
    <xf numFmtId="0" fontId="3" fillId="0" borderId="14" xfId="3" applyFont="1" applyBorder="1" applyAlignment="1">
      <alignment horizontal="center" vertical="distributed" wrapText="1"/>
    </xf>
    <xf numFmtId="0" fontId="3" fillId="0" borderId="15" xfId="3" applyFont="1" applyBorder="1" applyAlignment="1">
      <alignment horizontal="center" vertical="distributed" wrapText="1"/>
    </xf>
    <xf numFmtId="0" fontId="3" fillId="0" borderId="16" xfId="3" applyFont="1" applyBorder="1" applyAlignment="1">
      <alignment horizontal="center" vertical="distributed" wrapText="1"/>
    </xf>
    <xf numFmtId="0" fontId="3" fillId="0" borderId="23" xfId="3" applyFont="1" applyBorder="1" applyAlignment="1">
      <alignment vertical="center" wrapText="1"/>
    </xf>
    <xf numFmtId="0" fontId="3" fillId="0" borderId="23" xfId="3" applyFont="1" applyBorder="1" applyAlignment="1">
      <alignment horizontal="center" vertical="center" wrapText="1"/>
    </xf>
    <xf numFmtId="0" fontId="3" fillId="0" borderId="23" xfId="3" applyFont="1" applyBorder="1" applyAlignment="1">
      <alignment horizontal="center" vertical="top" wrapText="1"/>
    </xf>
    <xf numFmtId="165" fontId="4" fillId="0" borderId="23" xfId="3" applyNumberFormat="1" applyFont="1" applyBorder="1" applyAlignment="1">
      <alignment horizontal="center" vertical="center" wrapText="1"/>
    </xf>
    <xf numFmtId="1" fontId="4" fillId="0" borderId="0" xfId="3" applyNumberFormat="1" applyFont="1" applyAlignment="1">
      <alignment horizontal="left" vertical="top" wrapText="1"/>
    </xf>
    <xf numFmtId="0" fontId="4" fillId="0" borderId="83" xfId="3" applyFont="1" applyBorder="1" applyAlignment="1">
      <alignment horizontal="center" vertical="center" wrapText="1"/>
    </xf>
    <xf numFmtId="43" fontId="4" fillId="2" borderId="83" xfId="1" applyFont="1" applyFill="1" applyBorder="1" applyAlignment="1">
      <alignment horizontal="center" vertical="center" wrapText="1"/>
    </xf>
    <xf numFmtId="174" fontId="41" fillId="0" borderId="23" xfId="3" applyNumberFormat="1" applyFont="1" applyBorder="1" applyAlignment="1">
      <alignment horizontal="right" vertical="center" wrapText="1"/>
    </xf>
    <xf numFmtId="172" fontId="41" fillId="0" borderId="23" xfId="1" applyNumberFormat="1" applyFont="1" applyFill="1" applyBorder="1" applyAlignment="1">
      <alignment horizontal="right" vertical="distributed" wrapText="1"/>
    </xf>
    <xf numFmtId="43" fontId="41" fillId="0" borderId="14" xfId="1" applyFont="1" applyFill="1" applyBorder="1" applyAlignment="1">
      <alignment horizontal="center" vertical="distributed" wrapText="1"/>
    </xf>
    <xf numFmtId="2" fontId="4" fillId="2" borderId="39" xfId="3" applyNumberFormat="1" applyFont="1" applyFill="1" applyBorder="1" applyAlignment="1">
      <alignment horizontal="center" vertical="center" wrapText="1"/>
    </xf>
    <xf numFmtId="1" fontId="4" fillId="0" borderId="23" xfId="3" applyNumberFormat="1" applyFont="1" applyBorder="1" applyAlignment="1">
      <alignment vertical="center" wrapText="1"/>
    </xf>
    <xf numFmtId="0" fontId="4" fillId="0" borderId="40" xfId="3" applyFont="1" applyBorder="1" applyAlignment="1">
      <alignment horizontal="center" vertical="center" wrapText="1"/>
    </xf>
    <xf numFmtId="0" fontId="4" fillId="0" borderId="33" xfId="3" applyFont="1" applyBorder="1" applyAlignment="1">
      <alignment horizontal="center" vertical="center" wrapText="1"/>
    </xf>
    <xf numFmtId="174" fontId="4" fillId="0" borderId="33" xfId="3" applyNumberFormat="1" applyFont="1" applyBorder="1" applyAlignment="1">
      <alignment horizontal="center" vertical="center" wrapText="1"/>
    </xf>
    <xf numFmtId="0" fontId="22" fillId="0" borderId="39" xfId="3" applyFont="1" applyBorder="1" applyAlignment="1">
      <alignment wrapText="1"/>
    </xf>
    <xf numFmtId="0" fontId="41" fillId="0" borderId="15" xfId="3" applyFont="1" applyBorder="1" applyAlignment="1">
      <alignment horizontal="center" wrapText="1"/>
    </xf>
    <xf numFmtId="0" fontId="41" fillId="2" borderId="23" xfId="3" applyFont="1" applyFill="1" applyBorder="1" applyAlignment="1">
      <alignment horizontal="left" vertical="distributed" wrapText="1"/>
    </xf>
    <xf numFmtId="2" fontId="81" fillId="0" borderId="23" xfId="3" applyNumberFormat="1" applyFont="1" applyBorder="1" applyAlignment="1">
      <alignment horizontal="center" vertical="center"/>
    </xf>
    <xf numFmtId="0" fontId="4" fillId="2" borderId="23" xfId="3" applyFont="1" applyFill="1" applyBorder="1" applyAlignment="1">
      <alignment horizontal="center" vertical="center"/>
    </xf>
    <xf numFmtId="2" fontId="4" fillId="0" borderId="20" xfId="3" applyNumberFormat="1" applyFont="1" applyBorder="1" applyAlignment="1">
      <alignment horizontal="center" vertical="center"/>
    </xf>
    <xf numFmtId="2" fontId="4" fillId="0" borderId="23" xfId="3" applyNumberFormat="1" applyFont="1" applyBorder="1" applyAlignment="1">
      <alignment horizontal="center" vertical="center"/>
    </xf>
    <xf numFmtId="43" fontId="81" fillId="0" borderId="23" xfId="1" applyFont="1" applyFill="1" applyBorder="1" applyAlignment="1">
      <alignment horizontal="center" vertical="center"/>
    </xf>
    <xf numFmtId="2" fontId="4" fillId="2" borderId="23" xfId="3" applyNumberFormat="1" applyFont="1" applyFill="1" applyBorder="1" applyAlignment="1">
      <alignment horizontal="center" vertical="center"/>
    </xf>
    <xf numFmtId="0" fontId="81" fillId="0" borderId="23" xfId="1" applyNumberFormat="1" applyFont="1" applyFill="1" applyBorder="1" applyAlignment="1">
      <alignment horizontal="center" vertical="center"/>
    </xf>
    <xf numFmtId="1" fontId="47" fillId="2" borderId="84" xfId="3" applyNumberFormat="1" applyFont="1" applyFill="1" applyBorder="1" applyAlignment="1">
      <alignment horizontal="center" vertical="center" wrapText="1"/>
    </xf>
    <xf numFmtId="2" fontId="41" fillId="0" borderId="85" xfId="3" applyNumberFormat="1" applyFont="1" applyBorder="1" applyAlignment="1">
      <alignment horizontal="center" vertical="center" wrapText="1"/>
    </xf>
    <xf numFmtId="0" fontId="41" fillId="2" borderId="83" xfId="3" applyFont="1" applyFill="1" applyBorder="1" applyAlignment="1">
      <alignment horizontal="center" vertical="center" wrapText="1"/>
    </xf>
    <xf numFmtId="0" fontId="54" fillId="0" borderId="0" xfId="0" applyFont="1" applyAlignment="1">
      <alignment horizontal="center" vertical="center"/>
    </xf>
    <xf numFmtId="0" fontId="41" fillId="0" borderId="23" xfId="3" applyFont="1" applyBorder="1" applyAlignment="1">
      <alignment horizontal="center" vertical="distributed" wrapText="1"/>
    </xf>
    <xf numFmtId="165" fontId="20" fillId="0" borderId="0" xfId="3" applyNumberFormat="1" applyFont="1" applyAlignment="1">
      <alignment horizontal="right"/>
    </xf>
    <xf numFmtId="43" fontId="2" fillId="0" borderId="33" xfId="1" applyFont="1" applyFill="1" applyBorder="1" applyAlignment="1">
      <alignment horizontal="center" vertical="center" wrapText="1"/>
    </xf>
    <xf numFmtId="0" fontId="41" fillId="2" borderId="85" xfId="3" applyFont="1" applyFill="1" applyBorder="1" applyAlignment="1">
      <alignment horizontal="center" vertical="center" wrapText="1"/>
    </xf>
    <xf numFmtId="165" fontId="2" fillId="2" borderId="0" xfId="3" applyNumberFormat="1" applyFill="1" applyAlignment="1">
      <alignment horizontal="left" vertical="center"/>
    </xf>
    <xf numFmtId="4" fontId="4" fillId="0" borderId="23" xfId="3" applyNumberFormat="1" applyFont="1" applyBorder="1" applyAlignment="1">
      <alignment horizontal="right" vertical="center" wrapText="1"/>
    </xf>
    <xf numFmtId="165" fontId="2" fillId="2" borderId="0" xfId="3" applyNumberFormat="1" applyFill="1" applyAlignment="1">
      <alignment horizontal="left"/>
    </xf>
    <xf numFmtId="43" fontId="4" fillId="0" borderId="23" xfId="1" applyFont="1" applyFill="1" applyBorder="1" applyAlignment="1">
      <alignment horizontal="right" vertical="center" wrapText="1"/>
    </xf>
    <xf numFmtId="2" fontId="4" fillId="0" borderId="40" xfId="3" applyNumberFormat="1" applyFont="1" applyBorder="1" applyAlignment="1">
      <alignment horizontal="center" vertical="center" wrapText="1"/>
    </xf>
    <xf numFmtId="43" fontId="4" fillId="0" borderId="30" xfId="3" applyNumberFormat="1" applyFont="1" applyBorder="1" applyAlignment="1">
      <alignment horizontal="right" vertical="center" wrapText="1"/>
    </xf>
    <xf numFmtId="43" fontId="4" fillId="0" borderId="40" xfId="3" applyNumberFormat="1" applyFont="1" applyBorder="1" applyAlignment="1">
      <alignment horizontal="center" vertical="center" wrapText="1"/>
    </xf>
    <xf numFmtId="0" fontId="4" fillId="0" borderId="32" xfId="3" applyFont="1" applyBorder="1" applyAlignment="1">
      <alignment horizontal="center" vertical="center" wrapText="1"/>
    </xf>
    <xf numFmtId="0" fontId="4" fillId="0" borderId="33" xfId="3" applyFont="1" applyBorder="1" applyAlignment="1">
      <alignment horizontal="center" vertical="top" wrapText="1"/>
    </xf>
    <xf numFmtId="0" fontId="3" fillId="0" borderId="23" xfId="3" applyFont="1" applyBorder="1" applyAlignment="1">
      <alignment horizontal="left" vertical="distributed" wrapText="1"/>
    </xf>
    <xf numFmtId="165" fontId="2" fillId="0" borderId="0" xfId="3" applyNumberFormat="1" applyAlignment="1">
      <alignment horizontal="left" vertical="center"/>
    </xf>
    <xf numFmtId="0" fontId="4" fillId="0" borderId="16" xfId="3" applyFont="1" applyBorder="1" applyAlignment="1">
      <alignment horizontal="center" vertical="distributed" wrapText="1"/>
    </xf>
    <xf numFmtId="0" fontId="22" fillId="0" borderId="0" xfId="0" applyFont="1" applyAlignment="1">
      <alignment horizontal="center" vertical="center"/>
    </xf>
    <xf numFmtId="0" fontId="22" fillId="0" borderId="0" xfId="0" applyFont="1" applyAlignment="1">
      <alignment vertical="center"/>
    </xf>
    <xf numFmtId="176" fontId="4" fillId="2" borderId="21" xfId="3" applyNumberFormat="1" applyFont="1" applyFill="1" applyBorder="1" applyAlignment="1">
      <alignment horizontal="center" vertical="center" wrapText="1"/>
    </xf>
    <xf numFmtId="176" fontId="4" fillId="2" borderId="21" xfId="3" applyNumberFormat="1" applyFont="1" applyFill="1" applyBorder="1" applyAlignment="1">
      <alignment horizontal="center" vertical="top" wrapText="1"/>
    </xf>
    <xf numFmtId="0" fontId="0" fillId="0" borderId="0" xfId="0" applyAlignment="1">
      <alignment horizontal="center"/>
    </xf>
    <xf numFmtId="2" fontId="41" fillId="0" borderId="83" xfId="3" applyNumberFormat="1" applyFont="1" applyBorder="1" applyAlignment="1">
      <alignment horizontal="center" vertical="center" wrapText="1"/>
    </xf>
    <xf numFmtId="0" fontId="4" fillId="2" borderId="23" xfId="1" applyNumberFormat="1" applyFont="1" applyFill="1" applyBorder="1" applyAlignment="1">
      <alignment horizontal="center" vertical="center" wrapText="1"/>
    </xf>
    <xf numFmtId="1" fontId="2" fillId="0" borderId="0" xfId="5" applyNumberFormat="1" applyFont="1" applyAlignment="1">
      <alignment horizontal="center" vertical="center" wrapText="1"/>
    </xf>
    <xf numFmtId="1" fontId="2" fillId="0" borderId="0" xfId="5" applyNumberFormat="1" applyFont="1" applyAlignment="1">
      <alignment horizontal="left" vertical="center" wrapText="1"/>
    </xf>
    <xf numFmtId="2" fontId="15" fillId="4" borderId="0" xfId="0" applyNumberFormat="1" applyFont="1" applyFill="1" applyAlignment="1">
      <alignment horizontal="center" wrapText="1"/>
    </xf>
    <xf numFmtId="1" fontId="25" fillId="4" borderId="16" xfId="5" applyNumberFormat="1" applyFont="1" applyFill="1" applyBorder="1" applyAlignment="1">
      <alignment vertical="center" wrapText="1"/>
    </xf>
    <xf numFmtId="43" fontId="41" fillId="2" borderId="30" xfId="1" applyFont="1" applyFill="1" applyBorder="1" applyAlignment="1">
      <alignment horizontal="center" vertical="center" wrapText="1"/>
    </xf>
    <xf numFmtId="0" fontId="41" fillId="2" borderId="23" xfId="12" applyFont="1" applyFill="1" applyBorder="1" applyAlignment="1">
      <alignment horizontal="left" vertical="center" wrapText="1"/>
    </xf>
    <xf numFmtId="174" fontId="41" fillId="0" borderId="23" xfId="3" applyNumberFormat="1" applyFont="1" applyBorder="1" applyAlignment="1">
      <alignment horizontal="center" vertical="center" wrapText="1"/>
    </xf>
    <xf numFmtId="0" fontId="41" fillId="2" borderId="83" xfId="3" applyFont="1" applyFill="1" applyBorder="1" applyAlignment="1">
      <alignment horizontal="left" vertical="distributed" wrapText="1"/>
    </xf>
    <xf numFmtId="176" fontId="41" fillId="2" borderId="23" xfId="3" applyNumberFormat="1" applyFont="1" applyFill="1" applyBorder="1" applyAlignment="1">
      <alignment horizontal="center" vertical="center" wrapText="1"/>
    </xf>
    <xf numFmtId="174" fontId="41" fillId="2" borderId="14" xfId="3" applyNumberFormat="1" applyFont="1" applyFill="1" applyBorder="1" applyAlignment="1">
      <alignment horizontal="center" vertical="center" wrapText="1"/>
    </xf>
    <xf numFmtId="1" fontId="41" fillId="0" borderId="17" xfId="3" applyNumberFormat="1" applyFont="1" applyBorder="1" applyAlignment="1">
      <alignment horizontal="left" vertical="center" wrapText="1"/>
    </xf>
    <xf numFmtId="2" fontId="41" fillId="0" borderId="15" xfId="3" applyNumberFormat="1" applyFont="1" applyBorder="1" applyAlignment="1">
      <alignment horizontal="center" vertical="center" wrapText="1"/>
    </xf>
    <xf numFmtId="49" fontId="41" fillId="0" borderId="23" xfId="12" applyNumberFormat="1" applyFont="1" applyBorder="1" applyAlignment="1">
      <alignment horizontal="center" vertical="center" wrapText="1"/>
    </xf>
    <xf numFmtId="2" fontId="35" fillId="0" borderId="85" xfId="3" applyNumberFormat="1" applyFont="1" applyBorder="1" applyAlignment="1">
      <alignment horizontal="center" vertical="center"/>
    </xf>
    <xf numFmtId="2" fontId="35" fillId="0" borderId="83" xfId="3" applyNumberFormat="1" applyFont="1" applyBorder="1" applyAlignment="1">
      <alignment horizontal="center" vertical="center"/>
    </xf>
    <xf numFmtId="2" fontId="41" fillId="2" borderId="85" xfId="3" applyNumberFormat="1" applyFont="1" applyFill="1" applyBorder="1" applyAlignment="1">
      <alignment horizontal="center" vertical="center" wrapText="1"/>
    </xf>
    <xf numFmtId="2" fontId="41" fillId="2" borderId="83" xfId="3" applyNumberFormat="1" applyFont="1" applyFill="1" applyBorder="1" applyAlignment="1">
      <alignment horizontal="center" vertical="center" wrapText="1"/>
    </xf>
    <xf numFmtId="165" fontId="41" fillId="2" borderId="84" xfId="3" applyNumberFormat="1" applyFont="1" applyFill="1" applyBorder="1" applyAlignment="1">
      <alignment horizontal="center" vertical="center" wrapText="1"/>
    </xf>
    <xf numFmtId="0" fontId="41" fillId="0" borderId="0" xfId="3" applyFont="1" applyAlignment="1">
      <alignment horizontal="center" wrapText="1"/>
    </xf>
    <xf numFmtId="2" fontId="41" fillId="0" borderId="0" xfId="3" applyNumberFormat="1" applyFont="1" applyAlignment="1">
      <alignment horizontal="center" vertical="center" wrapText="1"/>
    </xf>
    <xf numFmtId="165" fontId="41" fillId="2" borderId="84" xfId="3" applyNumberFormat="1" applyFont="1" applyFill="1" applyBorder="1" applyAlignment="1">
      <alignment horizontal="right" vertical="center" wrapText="1"/>
    </xf>
    <xf numFmtId="43" fontId="85" fillId="0" borderId="23" xfId="1" applyFont="1" applyFill="1" applyBorder="1" applyAlignment="1">
      <alignment vertical="center"/>
    </xf>
    <xf numFmtId="43" fontId="86" fillId="0" borderId="23" xfId="1" applyFont="1" applyFill="1" applyBorder="1" applyAlignment="1">
      <alignment vertical="center"/>
    </xf>
    <xf numFmtId="4" fontId="2" fillId="0" borderId="20" xfId="8" applyNumberFormat="1" applyFont="1" applyFill="1" applyBorder="1" applyAlignment="1">
      <alignment horizontal="right" vertical="center" wrapText="1"/>
    </xf>
    <xf numFmtId="169" fontId="2" fillId="0" borderId="20" xfId="8" applyNumberFormat="1" applyFill="1" applyBorder="1" applyAlignment="1">
      <alignment horizontal="center" vertical="center" wrapText="1"/>
    </xf>
    <xf numFmtId="43" fontId="86" fillId="0" borderId="20" xfId="1" applyFont="1" applyFill="1" applyBorder="1" applyAlignment="1">
      <alignment vertical="center"/>
    </xf>
    <xf numFmtId="43" fontId="85" fillId="0" borderId="20" xfId="1" applyFont="1" applyFill="1" applyBorder="1" applyAlignment="1">
      <alignment vertical="center"/>
    </xf>
    <xf numFmtId="0" fontId="41" fillId="0" borderId="83" xfId="3" applyFont="1" applyBorder="1" applyAlignment="1">
      <alignment horizontal="left" vertical="distributed" wrapText="1"/>
    </xf>
    <xf numFmtId="0" fontId="4" fillId="0" borderId="83" xfId="3" applyFont="1" applyBorder="1" applyAlignment="1">
      <alignment horizontal="center" wrapText="1"/>
    </xf>
    <xf numFmtId="2" fontId="75" fillId="6" borderId="0" xfId="3" quotePrefix="1" applyNumberFormat="1" applyFont="1" applyFill="1" applyAlignment="1">
      <alignment horizontal="center" vertical="center"/>
    </xf>
    <xf numFmtId="174" fontId="41" fillId="2" borderId="23" xfId="3" applyNumberFormat="1" applyFont="1" applyFill="1" applyBorder="1" applyAlignment="1">
      <alignment horizontal="center" vertical="center" wrapText="1"/>
    </xf>
    <xf numFmtId="2" fontId="27" fillId="0" borderId="85" xfId="3" applyNumberFormat="1" applyFont="1" applyBorder="1" applyAlignment="1">
      <alignment horizontal="center" vertical="center"/>
    </xf>
    <xf numFmtId="2" fontId="27" fillId="0" borderId="0" xfId="3" applyNumberFormat="1" applyFont="1" applyAlignment="1">
      <alignment vertical="center"/>
    </xf>
    <xf numFmtId="2" fontId="27" fillId="0" borderId="0" xfId="3" applyNumberFormat="1" applyFont="1" applyAlignment="1">
      <alignment horizontal="center" vertical="center"/>
    </xf>
    <xf numFmtId="2" fontId="27" fillId="0" borderId="83" xfId="3" applyNumberFormat="1" applyFont="1" applyBorder="1" applyAlignment="1">
      <alignment horizontal="center" vertical="center"/>
    </xf>
    <xf numFmtId="2" fontId="4" fillId="2" borderId="85" xfId="3" applyNumberFormat="1" applyFont="1" applyFill="1" applyBorder="1" applyAlignment="1">
      <alignment horizontal="center" vertical="center" wrapText="1"/>
    </xf>
    <xf numFmtId="2" fontId="4" fillId="2" borderId="83" xfId="3" applyNumberFormat="1" applyFont="1" applyFill="1" applyBorder="1" applyAlignment="1">
      <alignment horizontal="center" vertical="center" wrapText="1"/>
    </xf>
    <xf numFmtId="0" fontId="4" fillId="2" borderId="83" xfId="3" applyFont="1" applyFill="1" applyBorder="1" applyAlignment="1">
      <alignment horizontal="left" vertical="distributed" wrapText="1"/>
    </xf>
    <xf numFmtId="0" fontId="4" fillId="0" borderId="1" xfId="3" applyFont="1" applyBorder="1" applyAlignment="1">
      <alignment horizontal="center" vertical="center" wrapText="1"/>
    </xf>
    <xf numFmtId="0" fontId="53" fillId="0" borderId="2" xfId="3" applyFont="1" applyBorder="1"/>
    <xf numFmtId="0" fontId="41" fillId="0" borderId="23" xfId="3" applyFont="1" applyBorder="1"/>
    <xf numFmtId="2" fontId="41" fillId="2" borderId="37" xfId="3" applyNumberFormat="1" applyFont="1" applyFill="1" applyBorder="1" applyAlignment="1">
      <alignment horizontal="center" vertical="center" wrapText="1"/>
    </xf>
    <xf numFmtId="2" fontId="41" fillId="2" borderId="38" xfId="3" applyNumberFormat="1" applyFont="1" applyFill="1" applyBorder="1" applyAlignment="1">
      <alignment horizontal="center" vertical="center" wrapText="1"/>
    </xf>
    <xf numFmtId="2" fontId="41" fillId="2" borderId="39" xfId="3" applyNumberFormat="1" applyFont="1" applyFill="1" applyBorder="1" applyAlignment="1">
      <alignment horizontal="center" vertical="center" wrapText="1"/>
    </xf>
    <xf numFmtId="17" fontId="41" fillId="0" borderId="23" xfId="3" applyNumberFormat="1" applyFont="1" applyBorder="1" applyAlignment="1">
      <alignment horizontal="left" vertical="center" wrapText="1"/>
    </xf>
    <xf numFmtId="1" fontId="41" fillId="2" borderId="40" xfId="3" applyNumberFormat="1" applyFont="1" applyFill="1" applyBorder="1" applyAlignment="1">
      <alignment horizontal="center" vertical="center" wrapText="1"/>
    </xf>
    <xf numFmtId="43" fontId="41" fillId="2" borderId="33" xfId="1" applyFont="1" applyFill="1" applyBorder="1" applyAlignment="1">
      <alignment horizontal="center" vertical="center" wrapText="1"/>
    </xf>
    <xf numFmtId="43" fontId="41" fillId="2" borderId="32" xfId="1" applyFont="1" applyFill="1" applyBorder="1" applyAlignment="1">
      <alignment horizontal="center" vertical="distributed" wrapText="1"/>
    </xf>
    <xf numFmtId="0" fontId="39" fillId="0" borderId="33" xfId="12" applyFont="1" applyBorder="1" applyAlignment="1">
      <alignment horizontal="left" vertical="center" wrapText="1"/>
    </xf>
    <xf numFmtId="2" fontId="1" fillId="0" borderId="14" xfId="3" applyNumberFormat="1" applyFont="1" applyBorder="1" applyAlignment="1">
      <alignment horizontal="center" vertical="center"/>
    </xf>
    <xf numFmtId="2" fontId="1" fillId="0" borderId="15" xfId="3" applyNumberFormat="1" applyFont="1" applyBorder="1" applyAlignment="1">
      <alignment vertical="center"/>
    </xf>
    <xf numFmtId="2" fontId="1" fillId="0" borderId="16" xfId="3" applyNumberFormat="1" applyFont="1" applyBorder="1" applyAlignment="1">
      <alignment horizontal="center" vertical="center"/>
    </xf>
    <xf numFmtId="2" fontId="39" fillId="2" borderId="20" xfId="3" applyNumberFormat="1" applyFont="1" applyFill="1" applyBorder="1" applyAlignment="1">
      <alignment horizontal="center" vertical="center" wrapText="1"/>
    </xf>
    <xf numFmtId="0" fontId="39" fillId="0" borderId="33" xfId="1" applyNumberFormat="1" applyFont="1" applyFill="1" applyBorder="1" applyAlignment="1">
      <alignment horizontal="center" vertical="center" wrapText="1"/>
    </xf>
    <xf numFmtId="43" fontId="39" fillId="0" borderId="30" xfId="1" applyFont="1" applyFill="1" applyBorder="1" applyAlignment="1">
      <alignment horizontal="center" vertical="center" wrapText="1"/>
    </xf>
    <xf numFmtId="2" fontId="39" fillId="0" borderId="40" xfId="1" applyNumberFormat="1" applyFont="1" applyFill="1" applyBorder="1" applyAlignment="1">
      <alignment horizontal="center" vertical="center" wrapText="1"/>
    </xf>
    <xf numFmtId="0" fontId="39" fillId="0" borderId="32" xfId="1" applyNumberFormat="1" applyFont="1" applyFill="1" applyBorder="1" applyAlignment="1">
      <alignment horizontal="center" vertical="center" wrapText="1"/>
    </xf>
    <xf numFmtId="174" fontId="39" fillId="0" borderId="33" xfId="3" applyNumberFormat="1" applyFont="1" applyBorder="1" applyAlignment="1">
      <alignment horizontal="right" vertical="center" wrapText="1"/>
    </xf>
    <xf numFmtId="171" fontId="39" fillId="0" borderId="33" xfId="3" applyNumberFormat="1" applyFont="1" applyBorder="1" applyAlignment="1">
      <alignment horizontal="center" vertical="center" wrapText="1"/>
    </xf>
    <xf numFmtId="0" fontId="39" fillId="0" borderId="23" xfId="3" applyFont="1" applyBorder="1" applyAlignment="1">
      <alignment horizontal="left" vertical="distributed" wrapText="1"/>
    </xf>
    <xf numFmtId="0" fontId="39" fillId="0" borderId="23" xfId="12" applyFont="1" applyBorder="1" applyAlignment="1">
      <alignment horizontal="left" vertical="center" wrapText="1"/>
    </xf>
    <xf numFmtId="1" fontId="36" fillId="0" borderId="23" xfId="3" applyNumberFormat="1" applyFont="1" applyBorder="1" applyAlignment="1">
      <alignment horizontal="center" vertical="center" wrapText="1"/>
    </xf>
    <xf numFmtId="0" fontId="39" fillId="0" borderId="26" xfId="12" applyFont="1" applyBorder="1" applyAlignment="1">
      <alignment horizontal="left" vertical="center" wrapText="1"/>
    </xf>
    <xf numFmtId="2" fontId="1" fillId="0" borderId="37" xfId="3" applyNumberFormat="1" applyFont="1" applyBorder="1" applyAlignment="1">
      <alignment horizontal="center" vertical="center"/>
    </xf>
    <xf numFmtId="2" fontId="1" fillId="0" borderId="38" xfId="3" applyNumberFormat="1" applyFont="1" applyBorder="1" applyAlignment="1">
      <alignment vertical="center"/>
    </xf>
    <xf numFmtId="2" fontId="1" fillId="0" borderId="39" xfId="3" applyNumberFormat="1" applyFont="1" applyBorder="1" applyAlignment="1">
      <alignment horizontal="center" vertical="center"/>
    </xf>
    <xf numFmtId="2" fontId="39" fillId="0" borderId="26" xfId="3" applyNumberFormat="1" applyFont="1" applyBorder="1" applyAlignment="1">
      <alignment horizontal="center" vertical="center" wrapText="1"/>
    </xf>
    <xf numFmtId="0" fontId="39" fillId="0" borderId="26" xfId="1" applyNumberFormat="1" applyFont="1" applyFill="1" applyBorder="1" applyAlignment="1">
      <alignment horizontal="center" vertical="center" wrapText="1"/>
    </xf>
    <xf numFmtId="43" fontId="39" fillId="0" borderId="39" xfId="1" applyFont="1" applyFill="1" applyBorder="1" applyAlignment="1">
      <alignment horizontal="center" vertical="center" wrapText="1"/>
    </xf>
    <xf numFmtId="2" fontId="39" fillId="0" borderId="38" xfId="1" applyNumberFormat="1" applyFont="1" applyFill="1" applyBorder="1" applyAlignment="1">
      <alignment horizontal="center" vertical="center" wrapText="1"/>
    </xf>
    <xf numFmtId="0" fontId="39" fillId="0" borderId="37" xfId="1" applyNumberFormat="1" applyFont="1" applyFill="1" applyBorder="1" applyAlignment="1">
      <alignment horizontal="center" vertical="center" wrapText="1"/>
    </xf>
    <xf numFmtId="43" fontId="39" fillId="0" borderId="26" xfId="1" applyFont="1" applyFill="1" applyBorder="1" applyAlignment="1">
      <alignment horizontal="right" vertical="center" wrapText="1"/>
    </xf>
    <xf numFmtId="43" fontId="39" fillId="0" borderId="26" xfId="1" applyFont="1" applyFill="1" applyBorder="1" applyAlignment="1">
      <alignment horizontal="center" vertical="center" wrapText="1"/>
    </xf>
    <xf numFmtId="171" fontId="39" fillId="0" borderId="26" xfId="3" applyNumberFormat="1" applyFont="1" applyBorder="1" applyAlignment="1">
      <alignment horizontal="center" vertical="center" wrapText="1"/>
    </xf>
    <xf numFmtId="0" fontId="39" fillId="0" borderId="26" xfId="3" applyFont="1" applyBorder="1" applyAlignment="1">
      <alignment horizontal="left" vertical="distributed" wrapText="1"/>
    </xf>
    <xf numFmtId="165" fontId="5" fillId="0" borderId="0" xfId="3" applyNumberFormat="1" applyFont="1" applyAlignment="1">
      <alignment horizontal="right"/>
    </xf>
    <xf numFmtId="0" fontId="39" fillId="2" borderId="31" xfId="12" applyFont="1" applyFill="1" applyBorder="1" applyAlignment="1">
      <alignment horizontal="left" vertical="center" wrapText="1"/>
    </xf>
    <xf numFmtId="2" fontId="39" fillId="0" borderId="1" xfId="3" applyNumberFormat="1" applyFont="1" applyBorder="1" applyAlignment="1">
      <alignment horizontal="center" vertical="center" wrapText="1"/>
    </xf>
    <xf numFmtId="0" fontId="39" fillId="0" borderId="2" xfId="3" applyFont="1" applyBorder="1" applyAlignment="1">
      <alignment horizontal="center" vertical="center" wrapText="1"/>
    </xf>
    <xf numFmtId="2" fontId="39" fillId="0" borderId="3" xfId="3" applyNumberFormat="1" applyFont="1" applyBorder="1" applyAlignment="1">
      <alignment horizontal="center" vertical="center" wrapText="1"/>
    </xf>
    <xf numFmtId="2" fontId="39" fillId="2" borderId="1" xfId="3" applyNumberFormat="1" applyFont="1" applyFill="1" applyBorder="1" applyAlignment="1">
      <alignment horizontal="center" vertical="distributed" wrapText="1"/>
    </xf>
    <xf numFmtId="0" fontId="39" fillId="2" borderId="2" xfId="3" applyFont="1" applyFill="1" applyBorder="1" applyAlignment="1">
      <alignment horizontal="center" vertical="distributed" wrapText="1"/>
    </xf>
    <xf numFmtId="2" fontId="39" fillId="2" borderId="3" xfId="3" applyNumberFormat="1" applyFont="1" applyFill="1" applyBorder="1" applyAlignment="1">
      <alignment horizontal="center" vertical="distributed" wrapText="1"/>
    </xf>
    <xf numFmtId="0" fontId="39" fillId="0" borderId="31" xfId="3" applyFont="1" applyBorder="1" applyAlignment="1">
      <alignment horizontal="center" vertical="center" wrapText="1"/>
    </xf>
    <xf numFmtId="0" fontId="39" fillId="0" borderId="31" xfId="1" applyNumberFormat="1" applyFont="1" applyFill="1" applyBorder="1" applyAlignment="1">
      <alignment horizontal="center" vertical="center" wrapText="1"/>
    </xf>
    <xf numFmtId="43" fontId="39" fillId="2" borderId="3" xfId="1" applyFont="1" applyFill="1" applyBorder="1" applyAlignment="1">
      <alignment horizontal="center" vertical="center" wrapText="1"/>
    </xf>
    <xf numFmtId="43" fontId="39" fillId="2" borderId="2" xfId="1" applyFont="1" applyFill="1" applyBorder="1" applyAlignment="1">
      <alignment horizontal="center" vertical="center" wrapText="1"/>
    </xf>
    <xf numFmtId="0" fontId="39" fillId="0" borderId="1" xfId="1" applyNumberFormat="1" applyFont="1" applyFill="1" applyBorder="1" applyAlignment="1">
      <alignment horizontal="center" vertical="center" wrapText="1"/>
    </xf>
    <xf numFmtId="171" fontId="39" fillId="0" borderId="31" xfId="3" applyNumberFormat="1" applyFont="1" applyBorder="1" applyAlignment="1">
      <alignment horizontal="center" vertical="center" wrapText="1"/>
    </xf>
    <xf numFmtId="0" fontId="39" fillId="2" borderId="21" xfId="3" applyFont="1" applyFill="1" applyBorder="1" applyAlignment="1">
      <alignment horizontal="left" vertical="distributed" wrapText="1"/>
    </xf>
    <xf numFmtId="0" fontId="39" fillId="2" borderId="33" xfId="12" applyFont="1" applyFill="1" applyBorder="1" applyAlignment="1">
      <alignment horizontal="left"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43" fontId="39" fillId="2" borderId="30" xfId="1" applyFont="1" applyFill="1" applyBorder="1" applyAlignment="1">
      <alignment horizontal="center" vertical="center" wrapText="1"/>
    </xf>
    <xf numFmtId="43" fontId="39" fillId="2" borderId="40" xfId="1" applyFont="1" applyFill="1" applyBorder="1" applyAlignment="1">
      <alignment horizontal="center" vertical="center" wrapText="1"/>
    </xf>
    <xf numFmtId="43" fontId="39" fillId="2" borderId="32" xfId="1" applyFont="1" applyFill="1" applyBorder="1" applyAlignment="1">
      <alignment horizontal="center" vertical="center" wrapText="1"/>
    </xf>
    <xf numFmtId="43" fontId="39" fillId="2" borderId="30" xfId="1" applyFont="1" applyFill="1" applyBorder="1" applyAlignment="1">
      <alignment horizontal="center" vertical="distributed" wrapText="1"/>
    </xf>
    <xf numFmtId="2" fontId="39" fillId="0" borderId="37" xfId="3" applyNumberFormat="1" applyFont="1" applyBorder="1" applyAlignment="1">
      <alignment horizontal="center" vertical="center" wrapText="1"/>
    </xf>
    <xf numFmtId="0" fontId="39" fillId="0" borderId="38" xfId="3" applyFont="1" applyBorder="1" applyAlignment="1">
      <alignment horizontal="center" vertical="center" wrapText="1"/>
    </xf>
    <xf numFmtId="2" fontId="39" fillId="0" borderId="39" xfId="3" applyNumberFormat="1" applyFont="1" applyBorder="1" applyAlignment="1">
      <alignment horizontal="center" vertical="center" wrapText="1"/>
    </xf>
    <xf numFmtId="2" fontId="39" fillId="2" borderId="37" xfId="3" applyNumberFormat="1" applyFont="1" applyFill="1" applyBorder="1" applyAlignment="1">
      <alignment horizontal="center" vertical="distributed" wrapText="1"/>
    </xf>
    <xf numFmtId="0" fontId="39" fillId="2" borderId="38" xfId="3" applyFont="1" applyFill="1" applyBorder="1" applyAlignment="1">
      <alignment horizontal="center" vertical="distributed" wrapText="1"/>
    </xf>
    <xf numFmtId="2" fontId="39" fillId="2" borderId="39" xfId="3" applyNumberFormat="1" applyFont="1" applyFill="1" applyBorder="1" applyAlignment="1">
      <alignment horizontal="center" vertical="distributed" wrapText="1"/>
    </xf>
    <xf numFmtId="0" fontId="39" fillId="0" borderId="26" xfId="3" applyFont="1" applyBorder="1" applyAlignment="1">
      <alignment horizontal="center" vertical="center" wrapText="1"/>
    </xf>
    <xf numFmtId="0" fontId="39" fillId="2" borderId="26" xfId="3" applyFont="1" applyFill="1" applyBorder="1" applyAlignment="1">
      <alignment horizontal="left" vertical="distributed" wrapText="1"/>
    </xf>
    <xf numFmtId="0" fontId="39" fillId="2" borderId="84" xfId="12" applyFont="1" applyFill="1" applyBorder="1" applyAlignment="1">
      <alignment horizontal="left" vertical="center" wrapText="1"/>
    </xf>
    <xf numFmtId="2" fontId="39" fillId="0" borderId="85" xfId="3" applyNumberFormat="1" applyFont="1" applyBorder="1" applyAlignment="1">
      <alignment horizontal="center" vertical="center" wrapText="1"/>
    </xf>
    <xf numFmtId="2" fontId="39" fillId="0" borderId="83" xfId="3" applyNumberFormat="1" applyFont="1" applyBorder="1" applyAlignment="1">
      <alignment horizontal="center" vertical="center" wrapText="1"/>
    </xf>
    <xf numFmtId="2" fontId="39" fillId="2" borderId="85" xfId="3" applyNumberFormat="1" applyFont="1" applyFill="1" applyBorder="1" applyAlignment="1">
      <alignment horizontal="center" vertical="distributed" wrapText="1"/>
    </xf>
    <xf numFmtId="2" fontId="39" fillId="2" borderId="83" xfId="3" applyNumberFormat="1" applyFont="1" applyFill="1" applyBorder="1" applyAlignment="1">
      <alignment horizontal="center" vertical="distributed" wrapText="1"/>
    </xf>
    <xf numFmtId="0" fontId="39" fillId="0" borderId="84" xfId="3" applyFont="1" applyBorder="1" applyAlignment="1">
      <alignment horizontal="center" vertical="center" wrapText="1"/>
    </xf>
    <xf numFmtId="0" fontId="39" fillId="0" borderId="84" xfId="1" applyNumberFormat="1" applyFont="1" applyFill="1" applyBorder="1" applyAlignment="1">
      <alignment horizontal="center" vertical="center" wrapText="1"/>
    </xf>
    <xf numFmtId="43" fontId="39" fillId="2" borderId="83" xfId="1" applyFont="1" applyFill="1" applyBorder="1" applyAlignment="1">
      <alignment horizontal="center" vertical="center" wrapText="1"/>
    </xf>
    <xf numFmtId="43" fontId="39" fillId="2" borderId="0" xfId="1" applyFont="1" applyFill="1" applyBorder="1" applyAlignment="1">
      <alignment horizontal="center" vertical="center" wrapText="1"/>
    </xf>
    <xf numFmtId="0" fontId="39" fillId="0" borderId="85" xfId="1" applyNumberFormat="1" applyFont="1" applyFill="1" applyBorder="1" applyAlignment="1">
      <alignment horizontal="center" vertical="center" wrapText="1"/>
    </xf>
    <xf numFmtId="171" fontId="39" fillId="0" borderId="84" xfId="3" applyNumberFormat="1" applyFont="1" applyBorder="1" applyAlignment="1">
      <alignment horizontal="center" vertical="center" wrapText="1"/>
    </xf>
    <xf numFmtId="174" fontId="39" fillId="0" borderId="23" xfId="3" applyNumberFormat="1" applyFont="1" applyBorder="1" applyAlignment="1">
      <alignment horizontal="center" vertical="center" wrapText="1"/>
    </xf>
    <xf numFmtId="1" fontId="36" fillId="0" borderId="31" xfId="3" applyNumberFormat="1" applyFont="1" applyBorder="1" applyAlignment="1">
      <alignment horizontal="left" vertical="top" wrapText="1"/>
    </xf>
    <xf numFmtId="44" fontId="0" fillId="6" borderId="9" xfId="16" applyFont="1" applyFill="1" applyBorder="1" applyAlignment="1">
      <alignment horizontal="center" vertical="center"/>
    </xf>
    <xf numFmtId="44" fontId="0" fillId="0" borderId="9" xfId="16" applyFont="1" applyBorder="1" applyAlignment="1">
      <alignment horizontal="center" vertical="center"/>
    </xf>
    <xf numFmtId="44" fontId="0" fillId="0" borderId="9" xfId="16" applyFont="1" applyFill="1" applyBorder="1" applyAlignment="1">
      <alignment horizontal="center" vertical="center"/>
    </xf>
    <xf numFmtId="10" fontId="0" fillId="4" borderId="9" xfId="2" applyNumberFormat="1" applyFont="1" applyFill="1" applyBorder="1" applyAlignment="1">
      <alignment horizontal="center"/>
    </xf>
    <xf numFmtId="49" fontId="4" fillId="2" borderId="23" xfId="12" applyNumberFormat="1" applyFont="1" applyFill="1" applyBorder="1" applyAlignment="1">
      <alignment horizontal="center" vertical="top" wrapText="1"/>
    </xf>
    <xf numFmtId="43" fontId="4" fillId="2" borderId="40" xfId="1" applyFont="1" applyFill="1" applyBorder="1" applyAlignment="1">
      <alignment horizontal="center" vertical="top" wrapText="1"/>
    </xf>
    <xf numFmtId="43" fontId="4" fillId="2" borderId="23" xfId="1" applyFont="1" applyFill="1" applyBorder="1" applyAlignment="1">
      <alignment horizontal="center" vertical="top" wrapText="1"/>
    </xf>
    <xf numFmtId="43" fontId="4" fillId="2" borderId="16" xfId="1" applyFont="1" applyFill="1" applyBorder="1" applyAlignment="1">
      <alignment horizontal="center" vertical="top" wrapText="1"/>
    </xf>
    <xf numFmtId="43" fontId="4" fillId="2" borderId="15" xfId="1" applyFont="1" applyFill="1" applyBorder="1" applyAlignment="1">
      <alignment horizontal="center" vertical="top" wrapText="1"/>
    </xf>
    <xf numFmtId="43" fontId="4" fillId="2" borderId="14" xfId="1" applyFont="1" applyFill="1" applyBorder="1" applyAlignment="1">
      <alignment horizontal="center" vertical="top" wrapText="1"/>
    </xf>
    <xf numFmtId="171" fontId="4" fillId="2" borderId="23" xfId="3" applyNumberFormat="1" applyFont="1" applyFill="1" applyBorder="1" applyAlignment="1">
      <alignment horizontal="center" vertical="top" wrapText="1"/>
    </xf>
    <xf numFmtId="172" fontId="4" fillId="2" borderId="23" xfId="1" applyNumberFormat="1" applyFont="1" applyFill="1" applyBorder="1" applyAlignment="1">
      <alignment horizontal="center" vertical="top" wrapText="1"/>
    </xf>
    <xf numFmtId="165" fontId="2" fillId="2" borderId="0" xfId="3" applyNumberFormat="1" applyFill="1" applyAlignment="1">
      <alignment horizontal="center" vertical="top"/>
    </xf>
    <xf numFmtId="0" fontId="2" fillId="2" borderId="0" xfId="3" applyFill="1" applyAlignment="1">
      <alignment horizontal="center" vertical="top"/>
    </xf>
    <xf numFmtId="0" fontId="5" fillId="0" borderId="23" xfId="7" applyFont="1" applyBorder="1" applyAlignment="1">
      <alignment horizontal="left" vertical="top" wrapText="1"/>
    </xf>
    <xf numFmtId="0" fontId="5" fillId="0" borderId="33" xfId="7" applyFont="1" applyBorder="1" applyAlignment="1">
      <alignment horizontal="left" vertical="top" wrapText="1"/>
    </xf>
    <xf numFmtId="44" fontId="0" fillId="0" borderId="8" xfId="16" applyFont="1" applyFill="1" applyBorder="1" applyAlignment="1">
      <alignment vertical="center"/>
    </xf>
    <xf numFmtId="44" fontId="0" fillId="0" borderId="9" xfId="16" applyFont="1" applyFill="1" applyBorder="1" applyAlignment="1">
      <alignment vertical="center"/>
    </xf>
    <xf numFmtId="44" fontId="0" fillId="0" borderId="10" xfId="16" applyFont="1" applyFill="1" applyBorder="1" applyAlignment="1">
      <alignment vertical="center"/>
    </xf>
    <xf numFmtId="44" fontId="0" fillId="4" borderId="9" xfId="16" applyFont="1" applyFill="1" applyBorder="1" applyAlignment="1">
      <alignment horizontal="center" vertical="center"/>
    </xf>
    <xf numFmtId="0" fontId="0" fillId="6" borderId="7" xfId="0" applyFill="1" applyBorder="1"/>
    <xf numFmtId="0" fontId="43" fillId="5" borderId="0" xfId="0" applyFont="1" applyFill="1" applyAlignment="1">
      <alignment horizontal="right" vertical="center" wrapText="1"/>
    </xf>
    <xf numFmtId="0" fontId="54" fillId="0" borderId="0" xfId="0" applyFont="1" applyAlignment="1">
      <alignment vertical="top"/>
    </xf>
    <xf numFmtId="0" fontId="56" fillId="0" borderId="0" xfId="0" applyFont="1" applyAlignment="1">
      <alignment horizontal="left" vertical="top" wrapText="1"/>
    </xf>
    <xf numFmtId="0" fontId="54" fillId="0" borderId="0" xfId="0" applyFont="1" applyAlignment="1">
      <alignment vertical="top" wrapText="1"/>
    </xf>
    <xf numFmtId="0" fontId="67" fillId="0" borderId="80" xfId="0" applyFont="1" applyBorder="1" applyAlignment="1">
      <alignment vertical="top"/>
    </xf>
    <xf numFmtId="0" fontId="67" fillId="0" borderId="81" xfId="0" applyFont="1" applyBorder="1" applyAlignment="1">
      <alignment vertical="top"/>
    </xf>
    <xf numFmtId="2" fontId="2" fillId="0" borderId="23" xfId="0" applyNumberFormat="1" applyFont="1" applyBorder="1" applyAlignment="1">
      <alignment horizontal="center" vertical="center"/>
    </xf>
    <xf numFmtId="1" fontId="2" fillId="0" borderId="23" xfId="9" applyNumberFormat="1" applyFont="1" applyBorder="1" applyAlignment="1">
      <alignment horizontal="center" vertical="center"/>
    </xf>
    <xf numFmtId="0" fontId="2" fillId="0" borderId="23" xfId="7" applyBorder="1" applyAlignment="1">
      <alignment horizontal="left" vertical="top" wrapText="1"/>
    </xf>
    <xf numFmtId="1" fontId="3" fillId="2" borderId="85" xfId="0" applyNumberFormat="1" applyFont="1" applyFill="1" applyBorder="1" applyAlignment="1">
      <alignment vertical="center" wrapText="1"/>
    </xf>
    <xf numFmtId="10" fontId="43" fillId="5" borderId="0" xfId="3" applyNumberFormat="1" applyFont="1" applyFill="1" applyAlignment="1">
      <alignment horizontal="right" vertical="center" wrapText="1"/>
    </xf>
    <xf numFmtId="174" fontId="43" fillId="5" borderId="0" xfId="3" applyNumberFormat="1" applyFont="1" applyFill="1" applyAlignment="1">
      <alignment horizontal="center" vertical="center" wrapText="1"/>
    </xf>
    <xf numFmtId="1" fontId="3" fillId="2" borderId="84" xfId="0" applyNumberFormat="1" applyFont="1" applyFill="1" applyBorder="1" applyAlignment="1">
      <alignment vertical="center" wrapText="1"/>
    </xf>
    <xf numFmtId="0" fontId="3" fillId="2" borderId="83" xfId="0" applyFont="1" applyFill="1" applyBorder="1" applyAlignment="1">
      <alignment vertical="center" wrapText="1"/>
    </xf>
    <xf numFmtId="0" fontId="3" fillId="2" borderId="18" xfId="0" applyFont="1" applyFill="1" applyBorder="1" applyAlignment="1">
      <alignment vertical="center" wrapText="1"/>
    </xf>
    <xf numFmtId="0" fontId="4" fillId="0" borderId="85" xfId="3" applyFont="1" applyBorder="1" applyAlignment="1">
      <alignment wrapText="1"/>
    </xf>
    <xf numFmtId="0" fontId="4" fillId="0" borderId="6" xfId="3" applyFont="1" applyBorder="1" applyAlignment="1">
      <alignment wrapText="1"/>
    </xf>
    <xf numFmtId="0" fontId="4" fillId="0" borderId="19" xfId="3" applyFont="1" applyBorder="1" applyAlignment="1">
      <alignment horizontal="center" wrapText="1"/>
    </xf>
    <xf numFmtId="1" fontId="36" fillId="0" borderId="21" xfId="3" applyNumberFormat="1" applyFont="1" applyBorder="1" applyAlignment="1">
      <alignment vertical="center" wrapText="1"/>
    </xf>
    <xf numFmtId="2" fontId="39" fillId="0" borderId="11" xfId="3" applyNumberFormat="1" applyFont="1" applyBorder="1" applyAlignment="1">
      <alignment horizontal="center" vertical="center" wrapText="1"/>
    </xf>
    <xf numFmtId="0" fontId="39" fillId="0" borderId="12" xfId="3" applyFont="1" applyBorder="1" applyAlignment="1">
      <alignment horizontal="center" wrapText="1"/>
    </xf>
    <xf numFmtId="2" fontId="39" fillId="0" borderId="13" xfId="3" applyNumberFormat="1" applyFont="1" applyBorder="1" applyAlignment="1">
      <alignment horizontal="center" vertical="center" wrapText="1"/>
    </xf>
    <xf numFmtId="2" fontId="39" fillId="2" borderId="21" xfId="3" applyNumberFormat="1" applyFont="1" applyFill="1" applyBorder="1" applyAlignment="1">
      <alignment horizontal="center" vertical="center" wrapText="1"/>
    </xf>
    <xf numFmtId="171" fontId="39" fillId="2" borderId="21" xfId="3" applyNumberFormat="1" applyFont="1" applyFill="1" applyBorder="1" applyAlignment="1">
      <alignment horizontal="center" vertical="center" wrapText="1"/>
    </xf>
    <xf numFmtId="0" fontId="88" fillId="0" borderId="11" xfId="3" applyFont="1" applyBorder="1" applyAlignment="1">
      <alignment wrapText="1"/>
    </xf>
    <xf numFmtId="10" fontId="39" fillId="0" borderId="23" xfId="2" applyNumberFormat="1" applyFont="1" applyFill="1" applyBorder="1" applyAlignment="1">
      <alignment horizontal="center" vertical="center" wrapText="1"/>
    </xf>
    <xf numFmtId="44" fontId="0" fillId="0" borderId="8" xfId="16" applyFont="1" applyFill="1" applyBorder="1" applyAlignment="1">
      <alignment horizontal="center" vertical="center"/>
    </xf>
    <xf numFmtId="44" fontId="0" fillId="0" borderId="10" xfId="16" applyFont="1" applyFill="1" applyBorder="1" applyAlignment="1">
      <alignment horizontal="center" vertical="center"/>
    </xf>
    <xf numFmtId="0" fontId="41" fillId="0" borderId="83" xfId="3" applyFont="1" applyBorder="1" applyAlignment="1">
      <alignment horizontal="center" vertical="center" wrapText="1"/>
    </xf>
    <xf numFmtId="2" fontId="4" fillId="0" borderId="23" xfId="2" applyNumberFormat="1" applyFont="1" applyBorder="1" applyAlignment="1">
      <alignment horizontal="center" vertical="center" wrapText="1"/>
    </xf>
    <xf numFmtId="182" fontId="4" fillId="0" borderId="23" xfId="3" applyNumberFormat="1" applyFont="1" applyBorder="1" applyAlignment="1">
      <alignment horizontal="center" vertical="center" wrapText="1"/>
    </xf>
    <xf numFmtId="49" fontId="4" fillId="2" borderId="84" xfId="12" applyNumberFormat="1" applyFont="1" applyFill="1" applyBorder="1" applyAlignment="1">
      <alignment horizontal="center" vertical="center" wrapText="1"/>
    </xf>
    <xf numFmtId="0" fontId="4" fillId="2" borderId="0" xfId="12" applyFont="1" applyFill="1" applyAlignment="1">
      <alignment horizontal="left" vertical="center" wrapText="1"/>
    </xf>
    <xf numFmtId="1" fontId="4" fillId="2" borderId="0" xfId="3" applyNumberFormat="1" applyFont="1" applyFill="1" applyAlignment="1">
      <alignment horizontal="center" vertical="center" wrapText="1"/>
    </xf>
    <xf numFmtId="43" fontId="4" fillId="2" borderId="0" xfId="1" applyFont="1" applyFill="1" applyBorder="1" applyAlignment="1">
      <alignment horizontal="center" vertical="center" wrapText="1"/>
    </xf>
    <xf numFmtId="43" fontId="4" fillId="2" borderId="0" xfId="1" applyFont="1" applyFill="1" applyBorder="1" applyAlignment="1">
      <alignment horizontal="center" vertical="distributed" wrapText="1"/>
    </xf>
    <xf numFmtId="43" fontId="4" fillId="2" borderId="83" xfId="1" applyFont="1" applyFill="1" applyBorder="1" applyAlignment="1">
      <alignment horizontal="center" vertical="distributed" wrapText="1"/>
    </xf>
    <xf numFmtId="172" fontId="4" fillId="2" borderId="84" xfId="1" applyNumberFormat="1" applyFont="1" applyFill="1" applyBorder="1" applyAlignment="1">
      <alignment horizontal="right" vertical="distributed" wrapText="1"/>
    </xf>
    <xf numFmtId="0" fontId="4" fillId="2" borderId="84" xfId="12" applyFont="1" applyFill="1" applyBorder="1" applyAlignment="1">
      <alignment horizontal="left" vertical="center" wrapText="1"/>
    </xf>
    <xf numFmtId="2" fontId="4" fillId="0" borderId="85" xfId="3" applyNumberFormat="1" applyFont="1" applyBorder="1" applyAlignment="1">
      <alignment horizontal="center" vertical="center" wrapText="1"/>
    </xf>
    <xf numFmtId="2" fontId="4" fillId="0" borderId="83" xfId="3" applyNumberFormat="1" applyFont="1" applyBorder="1" applyAlignment="1">
      <alignment horizontal="center" vertical="center" wrapText="1"/>
    </xf>
    <xf numFmtId="2" fontId="4" fillId="2" borderId="85" xfId="3" applyNumberFormat="1" applyFont="1" applyFill="1" applyBorder="1" applyAlignment="1">
      <alignment horizontal="center" vertical="distributed" wrapText="1"/>
    </xf>
    <xf numFmtId="2" fontId="4" fillId="2" borderId="83" xfId="3" applyNumberFormat="1" applyFont="1" applyFill="1" applyBorder="1" applyAlignment="1">
      <alignment horizontal="center" vertical="distributed" wrapText="1"/>
    </xf>
    <xf numFmtId="0" fontId="4" fillId="0" borderId="84" xfId="3" applyFont="1" applyBorder="1" applyAlignment="1">
      <alignment horizontal="center" vertical="center" wrapText="1"/>
    </xf>
    <xf numFmtId="0" fontId="4" fillId="0" borderId="84" xfId="1" applyNumberFormat="1" applyFont="1" applyFill="1" applyBorder="1" applyAlignment="1">
      <alignment horizontal="center" vertical="center" wrapText="1"/>
    </xf>
    <xf numFmtId="0" fontId="4" fillId="0" borderId="85" xfId="1" applyNumberFormat="1" applyFont="1" applyFill="1" applyBorder="1" applyAlignment="1">
      <alignment horizontal="center" vertical="center" wrapText="1"/>
    </xf>
    <xf numFmtId="171" fontId="4" fillId="0" borderId="84" xfId="3" applyNumberFormat="1" applyFont="1" applyBorder="1" applyAlignment="1">
      <alignment horizontal="center" vertical="center" wrapText="1"/>
    </xf>
    <xf numFmtId="1" fontId="4" fillId="2" borderId="16" xfId="3" applyNumberFormat="1" applyFont="1" applyFill="1" applyBorder="1" applyAlignment="1">
      <alignment horizontal="center" vertical="center" wrapText="1"/>
    </xf>
    <xf numFmtId="49" fontId="41" fillId="2" borderId="84" xfId="12" applyNumberFormat="1" applyFont="1" applyFill="1" applyBorder="1" applyAlignment="1">
      <alignment horizontal="center" vertical="center" wrapText="1"/>
    </xf>
    <xf numFmtId="165" fontId="20" fillId="0" borderId="0" xfId="3" applyNumberFormat="1" applyFont="1" applyAlignment="1">
      <alignment horizontal="center" vertical="center"/>
    </xf>
    <xf numFmtId="43" fontId="4" fillId="0" borderId="16" xfId="3" applyNumberFormat="1" applyFont="1" applyBorder="1" applyAlignment="1">
      <alignment horizontal="right" vertical="center" wrapText="1"/>
    </xf>
    <xf numFmtId="43" fontId="4" fillId="0" borderId="15" xfId="3" applyNumberFormat="1" applyFont="1" applyBorder="1" applyAlignment="1">
      <alignment horizontal="center" vertical="center" wrapText="1"/>
    </xf>
    <xf numFmtId="17" fontId="4" fillId="0" borderId="23" xfId="3" applyNumberFormat="1" applyFont="1" applyBorder="1" applyAlignment="1">
      <alignment horizontal="left" vertical="center" wrapText="1"/>
    </xf>
    <xf numFmtId="0" fontId="0" fillId="0" borderId="8" xfId="0" applyBorder="1"/>
    <xf numFmtId="0" fontId="89" fillId="0" borderId="7" xfId="0" applyFont="1" applyBorder="1"/>
    <xf numFmtId="0" fontId="27" fillId="0" borderId="7" xfId="0" applyFont="1" applyBorder="1"/>
    <xf numFmtId="1" fontId="47" fillId="0" borderId="84" xfId="3" applyNumberFormat="1" applyFont="1" applyBorder="1" applyAlignment="1">
      <alignment horizontal="center" vertical="center" wrapText="1"/>
    </xf>
    <xf numFmtId="2" fontId="41" fillId="0" borderId="0" xfId="3" applyNumberFormat="1" applyFont="1" applyAlignment="1">
      <alignment horizontal="center" vertical="distributed" wrapText="1"/>
    </xf>
    <xf numFmtId="0" fontId="41" fillId="0" borderId="0" xfId="3" applyFont="1" applyAlignment="1">
      <alignment horizontal="center" vertical="distributed" wrapText="1"/>
    </xf>
    <xf numFmtId="2" fontId="41" fillId="0" borderId="83" xfId="3" applyNumberFormat="1" applyFont="1" applyBorder="1" applyAlignment="1">
      <alignment horizontal="center" vertical="distributed" wrapText="1"/>
    </xf>
    <xf numFmtId="0" fontId="41" fillId="0" borderId="85" xfId="3" applyFont="1" applyBorder="1" applyAlignment="1">
      <alignment horizontal="center" vertical="center" wrapText="1"/>
    </xf>
    <xf numFmtId="165" fontId="41" fillId="0" borderId="84" xfId="3" applyNumberFormat="1" applyFont="1" applyBorder="1" applyAlignment="1">
      <alignment horizontal="right" vertical="center" wrapText="1"/>
    </xf>
    <xf numFmtId="0" fontId="41" fillId="0" borderId="83" xfId="3" applyFont="1" applyBorder="1" applyAlignment="1">
      <alignment horizontal="center" vertical="distributed" wrapText="1"/>
    </xf>
    <xf numFmtId="0" fontId="37" fillId="2" borderId="34" xfId="3" applyFont="1" applyFill="1" applyBorder="1" applyAlignment="1">
      <alignment vertical="center" wrapText="1"/>
    </xf>
    <xf numFmtId="2" fontId="35" fillId="0" borderId="14" xfId="3" applyNumberFormat="1" applyFont="1" applyBorder="1" applyAlignment="1">
      <alignment horizontal="center" vertical="center"/>
    </xf>
    <xf numFmtId="2" fontId="35" fillId="0" borderId="15" xfId="3" applyNumberFormat="1" applyFont="1" applyBorder="1" applyAlignment="1">
      <alignment vertical="center"/>
    </xf>
    <xf numFmtId="2" fontId="35" fillId="0" borderId="16" xfId="3" applyNumberFormat="1" applyFont="1" applyBorder="1" applyAlignment="1">
      <alignment horizontal="center" vertical="center"/>
    </xf>
    <xf numFmtId="0" fontId="41" fillId="0" borderId="23" xfId="1" applyNumberFormat="1" applyFont="1" applyFill="1" applyBorder="1" applyAlignment="1">
      <alignment horizontal="center" vertical="center" wrapText="1"/>
    </xf>
    <xf numFmtId="2" fontId="41" fillId="0" borderId="23" xfId="1" applyNumberFormat="1" applyFont="1" applyFill="1" applyBorder="1" applyAlignment="1">
      <alignment horizontal="center" vertical="center" wrapText="1"/>
    </xf>
    <xf numFmtId="0" fontId="41" fillId="0" borderId="14" xfId="1" applyNumberFormat="1" applyFont="1" applyFill="1" applyBorder="1" applyAlignment="1">
      <alignment horizontal="center" vertical="center" wrapText="1"/>
    </xf>
    <xf numFmtId="2" fontId="41" fillId="0" borderId="26" xfId="3" applyNumberFormat="1" applyFont="1" applyBorder="1" applyAlignment="1">
      <alignment horizontal="center" vertical="center" wrapText="1"/>
    </xf>
    <xf numFmtId="0" fontId="41" fillId="0" borderId="23" xfId="12" applyFont="1" applyBorder="1" applyAlignment="1">
      <alignment horizontal="left" vertical="center"/>
    </xf>
    <xf numFmtId="0" fontId="41" fillId="2" borderId="40" xfId="3" applyFont="1" applyFill="1" applyBorder="1" applyAlignment="1">
      <alignment horizontal="center" vertical="distributed" wrapText="1"/>
    </xf>
    <xf numFmtId="0" fontId="53" fillId="0" borderId="23" xfId="3" applyFont="1" applyBorder="1"/>
    <xf numFmtId="0" fontId="52" fillId="0" borderId="23" xfId="3" applyFont="1" applyBorder="1"/>
    <xf numFmtId="0" fontId="53" fillId="0" borderId="20" xfId="3" applyFont="1" applyBorder="1"/>
    <xf numFmtId="17" fontId="69" fillId="9" borderId="70" xfId="0" applyNumberFormat="1" applyFont="1" applyFill="1" applyBorder="1" applyAlignment="1">
      <alignment horizontal="center" vertical="center"/>
    </xf>
    <xf numFmtId="17" fontId="69" fillId="9" borderId="71" xfId="0" applyNumberFormat="1" applyFont="1" applyFill="1" applyBorder="1" applyAlignment="1">
      <alignment horizontal="center" vertical="center"/>
    </xf>
    <xf numFmtId="17" fontId="69" fillId="9" borderId="72" xfId="0" applyNumberFormat="1" applyFont="1" applyFill="1" applyBorder="1" applyAlignment="1">
      <alignment horizontal="center" vertical="center"/>
    </xf>
    <xf numFmtId="10" fontId="0" fillId="6" borderId="9" xfId="2" applyNumberFormat="1" applyFont="1" applyFill="1" applyBorder="1" applyAlignment="1">
      <alignment horizontal="center"/>
    </xf>
    <xf numFmtId="0" fontId="39" fillId="2" borderId="23" xfId="3" applyFont="1" applyFill="1" applyBorder="1" applyAlignment="1">
      <alignment horizontal="left" vertical="top" wrapText="1"/>
    </xf>
    <xf numFmtId="0" fontId="4" fillId="2" borderId="23" xfId="3" applyFont="1" applyFill="1" applyBorder="1" applyAlignment="1">
      <alignment horizontal="left" vertical="top" wrapText="1"/>
    </xf>
    <xf numFmtId="1" fontId="3" fillId="2" borderId="21" xfId="3" applyNumberFormat="1" applyFont="1" applyFill="1" applyBorder="1" applyAlignment="1">
      <alignment horizontal="left" vertical="top" wrapText="1"/>
    </xf>
    <xf numFmtId="1" fontId="4" fillId="2" borderId="31" xfId="3" applyNumberFormat="1" applyFont="1" applyFill="1" applyBorder="1" applyAlignment="1">
      <alignment horizontal="left" vertical="top" wrapText="1"/>
    </xf>
    <xf numFmtId="165" fontId="2" fillId="2" borderId="0" xfId="3" applyNumberFormat="1" applyFill="1" applyAlignment="1">
      <alignment horizontal="left" vertical="top"/>
    </xf>
    <xf numFmtId="0" fontId="2" fillId="2" borderId="0" xfId="3" applyFill="1" applyAlignment="1">
      <alignment horizontal="left" vertical="top"/>
    </xf>
    <xf numFmtId="0" fontId="2" fillId="6" borderId="0" xfId="3" applyFill="1" applyAlignment="1">
      <alignment horizontal="left" vertical="top"/>
    </xf>
    <xf numFmtId="1" fontId="36" fillId="2" borderId="20" xfId="3" applyNumberFormat="1" applyFont="1" applyFill="1" applyBorder="1" applyAlignment="1">
      <alignment horizontal="left" vertical="top" wrapText="1"/>
    </xf>
    <xf numFmtId="1" fontId="39" fillId="2" borderId="23" xfId="3" applyNumberFormat="1" applyFont="1" applyFill="1" applyBorder="1" applyAlignment="1">
      <alignment horizontal="left" vertical="top" wrapText="1"/>
    </xf>
    <xf numFmtId="165" fontId="5" fillId="2" borderId="0" xfId="3" applyNumberFormat="1" applyFont="1" applyFill="1" applyAlignment="1">
      <alignment horizontal="left" vertical="top"/>
    </xf>
    <xf numFmtId="0" fontId="5" fillId="2" borderId="0" xfId="3" applyFont="1" applyFill="1" applyAlignment="1">
      <alignment horizontal="left" vertical="top"/>
    </xf>
    <xf numFmtId="0" fontId="5" fillId="6" borderId="0" xfId="3" applyFont="1" applyFill="1" applyAlignment="1">
      <alignment horizontal="left" vertical="top"/>
    </xf>
    <xf numFmtId="1" fontId="3" fillId="2" borderId="23" xfId="3" applyNumberFormat="1" applyFont="1" applyFill="1" applyBorder="1" applyAlignment="1">
      <alignment horizontal="left" vertical="top" wrapText="1"/>
    </xf>
    <xf numFmtId="0" fontId="3" fillId="2" borderId="23" xfId="3" applyFont="1" applyFill="1" applyBorder="1" applyAlignment="1">
      <alignment horizontal="left" vertical="top" wrapText="1"/>
    </xf>
    <xf numFmtId="2" fontId="76" fillId="2" borderId="0" xfId="3" applyNumberFormat="1" applyFont="1" applyFill="1" applyAlignment="1">
      <alignment horizontal="left" vertical="top"/>
    </xf>
    <xf numFmtId="1" fontId="4" fillId="0" borderId="14" xfId="3" applyNumberFormat="1" applyFont="1" applyBorder="1" applyAlignment="1">
      <alignment horizontal="left" vertical="top" wrapText="1"/>
    </xf>
    <xf numFmtId="1" fontId="4" fillId="2" borderId="23" xfId="3" applyNumberFormat="1" applyFont="1" applyFill="1" applyBorder="1" applyAlignment="1">
      <alignment horizontal="left" vertical="top" wrapText="1"/>
    </xf>
    <xf numFmtId="49" fontId="4" fillId="2" borderId="23" xfId="12" applyNumberFormat="1" applyFont="1" applyFill="1" applyBorder="1" applyAlignment="1">
      <alignment horizontal="left" vertical="top" wrapText="1"/>
    </xf>
    <xf numFmtId="0" fontId="41" fillId="0" borderId="23" xfId="3" applyFont="1" applyBorder="1" applyAlignment="1">
      <alignment wrapText="1"/>
    </xf>
    <xf numFmtId="1" fontId="13" fillId="4" borderId="15" xfId="5" applyNumberFormat="1" applyFont="1" applyFill="1" applyBorder="1" applyAlignment="1">
      <alignment vertical="top" wrapText="1"/>
    </xf>
    <xf numFmtId="1" fontId="2" fillId="0" borderId="15" xfId="5" applyNumberFormat="1" applyFont="1" applyBorder="1" applyAlignment="1">
      <alignment vertical="top" wrapText="1"/>
    </xf>
    <xf numFmtId="165" fontId="2" fillId="0" borderId="15" xfId="5" applyNumberFormat="1" applyFont="1" applyBorder="1" applyAlignment="1">
      <alignment vertical="top" wrapText="1"/>
    </xf>
    <xf numFmtId="1" fontId="2" fillId="0" borderId="16" xfId="5" applyNumberFormat="1" applyFont="1" applyBorder="1" applyAlignment="1">
      <alignment vertical="top" wrapText="1"/>
    </xf>
    <xf numFmtId="165" fontId="2" fillId="4" borderId="15" xfId="5" applyNumberFormat="1" applyFont="1" applyFill="1" applyBorder="1" applyAlignment="1">
      <alignment vertical="top" wrapText="1"/>
    </xf>
    <xf numFmtId="1" fontId="2" fillId="4" borderId="16" xfId="5" applyNumberFormat="1" applyFont="1" applyFill="1" applyBorder="1" applyAlignment="1">
      <alignment vertical="top" wrapText="1"/>
    </xf>
    <xf numFmtId="1" fontId="2" fillId="0" borderId="5" xfId="5" applyNumberFormat="1" applyFont="1" applyBorder="1" applyAlignment="1">
      <alignment vertical="top" wrapText="1"/>
    </xf>
    <xf numFmtId="1" fontId="2" fillId="0" borderId="40" xfId="5" applyNumberFormat="1" applyFont="1" applyBorder="1" applyAlignment="1">
      <alignment vertical="top" wrapText="1"/>
    </xf>
    <xf numFmtId="0" fontId="15" fillId="3" borderId="0" xfId="0" applyFont="1" applyFill="1" applyAlignment="1">
      <alignment vertical="top" wrapText="1"/>
    </xf>
    <xf numFmtId="0" fontId="69" fillId="0" borderId="97" xfId="0" applyFont="1" applyBorder="1"/>
    <xf numFmtId="0" fontId="69" fillId="0" borderId="98" xfId="0" applyFont="1" applyBorder="1"/>
    <xf numFmtId="0" fontId="0" fillId="0" borderId="97" xfId="0" applyBorder="1"/>
    <xf numFmtId="0" fontId="0" fillId="0" borderId="98" xfId="0" applyBorder="1"/>
    <xf numFmtId="0" fontId="0" fillId="5" borderId="97" xfId="0" applyFill="1" applyBorder="1"/>
    <xf numFmtId="0" fontId="0" fillId="5" borderId="98" xfId="0" applyFill="1" applyBorder="1"/>
    <xf numFmtId="175" fontId="0" fillId="0" borderId="97" xfId="0" applyNumberFormat="1" applyBorder="1"/>
    <xf numFmtId="175" fontId="0" fillId="0" borderId="98" xfId="0" applyNumberFormat="1" applyBorder="1"/>
    <xf numFmtId="175" fontId="0" fillId="0" borderId="99" xfId="0" applyNumberFormat="1" applyBorder="1"/>
    <xf numFmtId="0" fontId="0" fillId="0" borderId="100" xfId="0" applyBorder="1"/>
    <xf numFmtId="49" fontId="41" fillId="2" borderId="33" xfId="12" applyNumberFormat="1" applyFont="1" applyFill="1" applyBorder="1" applyAlignment="1">
      <alignment horizontal="center" vertical="center" wrapText="1"/>
    </xf>
    <xf numFmtId="1" fontId="41" fillId="0" borderId="33" xfId="3" applyNumberFormat="1" applyFont="1" applyBorder="1" applyAlignment="1">
      <alignment horizontal="left" vertical="top" wrapText="1"/>
    </xf>
    <xf numFmtId="172" fontId="41" fillId="2" borderId="33" xfId="1" applyNumberFormat="1" applyFont="1" applyFill="1" applyBorder="1" applyAlignment="1">
      <alignment horizontal="right" vertical="distributed" wrapText="1"/>
    </xf>
    <xf numFmtId="49" fontId="41" fillId="2" borderId="23" xfId="12" applyNumberFormat="1" applyFont="1" applyFill="1" applyBorder="1" applyAlignment="1">
      <alignment horizontal="left" vertical="top" wrapText="1"/>
    </xf>
    <xf numFmtId="0" fontId="4" fillId="2" borderId="16" xfId="3" applyFont="1" applyFill="1" applyBorder="1" applyAlignment="1">
      <alignment horizontal="left" vertical="top" wrapText="1"/>
    </xf>
    <xf numFmtId="0" fontId="4" fillId="2" borderId="33" xfId="12" applyFont="1" applyFill="1" applyBorder="1" applyAlignment="1">
      <alignment horizontal="left" vertical="top" wrapText="1"/>
    </xf>
    <xf numFmtId="0" fontId="4" fillId="2" borderId="14" xfId="12" applyFont="1" applyFill="1" applyBorder="1" applyAlignment="1">
      <alignment horizontal="left" vertical="top" wrapText="1"/>
    </xf>
    <xf numFmtId="0" fontId="41" fillId="2" borderId="14" xfId="12" applyFont="1" applyFill="1" applyBorder="1" applyAlignment="1">
      <alignment horizontal="left" vertical="top" wrapText="1"/>
    </xf>
    <xf numFmtId="174" fontId="41" fillId="0" borderId="0" xfId="3" applyNumberFormat="1" applyFont="1" applyAlignment="1">
      <alignment horizontal="center" vertical="center" wrapText="1"/>
    </xf>
    <xf numFmtId="0" fontId="41" fillId="0" borderId="83" xfId="3" applyFont="1" applyBorder="1" applyAlignment="1">
      <alignment horizontal="justify" vertical="distributed" wrapText="1"/>
    </xf>
    <xf numFmtId="2" fontId="41" fillId="2" borderId="14" xfId="3" applyNumberFormat="1" applyFont="1" applyFill="1" applyBorder="1" applyAlignment="1">
      <alignment horizontal="center" vertical="distributed" wrapText="1"/>
    </xf>
    <xf numFmtId="2" fontId="41" fillId="2" borderId="16" xfId="3" applyNumberFormat="1" applyFont="1" applyFill="1" applyBorder="1" applyAlignment="1">
      <alignment horizontal="center" vertical="distributed" wrapText="1"/>
    </xf>
    <xf numFmtId="1" fontId="47" fillId="2" borderId="21" xfId="3" applyNumberFormat="1" applyFont="1" applyFill="1" applyBorder="1" applyAlignment="1">
      <alignment horizontal="center" vertical="center" wrapText="1"/>
    </xf>
    <xf numFmtId="0" fontId="41" fillId="2" borderId="32" xfId="3" applyFont="1" applyFill="1" applyBorder="1" applyAlignment="1">
      <alignment horizontal="center" vertical="distributed" wrapText="1"/>
    </xf>
    <xf numFmtId="0" fontId="41" fillId="2" borderId="30" xfId="3" applyFont="1" applyFill="1" applyBorder="1" applyAlignment="1">
      <alignment horizontal="center" vertical="distributed" wrapText="1"/>
    </xf>
    <xf numFmtId="0" fontId="4" fillId="0" borderId="23" xfId="12" applyFont="1" applyBorder="1" applyAlignment="1">
      <alignment horizontal="left" vertical="center"/>
    </xf>
    <xf numFmtId="0" fontId="41" fillId="0" borderId="23" xfId="12" applyFont="1" applyBorder="1" applyAlignment="1">
      <alignment horizontal="left" vertical="center" wrapText="1"/>
    </xf>
    <xf numFmtId="43" fontId="41" fillId="0" borderId="16" xfId="1" applyFont="1" applyFill="1" applyBorder="1" applyAlignment="1">
      <alignment horizontal="center" vertical="center" wrapText="1"/>
    </xf>
    <xf numFmtId="2" fontId="41" fillId="0" borderId="15" xfId="1" applyNumberFormat="1" applyFont="1" applyFill="1" applyBorder="1" applyAlignment="1">
      <alignment horizontal="center" vertical="center" wrapText="1"/>
    </xf>
    <xf numFmtId="43" fontId="41" fillId="0" borderId="23" xfId="1" applyFont="1" applyFill="1" applyBorder="1" applyAlignment="1">
      <alignment horizontal="right" vertical="center" wrapText="1"/>
    </xf>
    <xf numFmtId="0" fontId="4" fillId="2" borderId="38" xfId="12" applyFont="1" applyFill="1" applyBorder="1" applyAlignment="1">
      <alignment horizontal="left" vertical="center" wrapText="1"/>
    </xf>
    <xf numFmtId="2" fontId="4" fillId="0" borderId="37" xfId="3" applyNumberFormat="1" applyFont="1" applyBorder="1" applyAlignment="1">
      <alignment horizontal="center" vertical="center" wrapText="1"/>
    </xf>
    <xf numFmtId="0" fontId="4" fillId="0" borderId="38" xfId="3" applyFont="1" applyBorder="1" applyAlignment="1">
      <alignment horizontal="center" vertical="center" wrapText="1"/>
    </xf>
    <xf numFmtId="2" fontId="4" fillId="0" borderId="38" xfId="3" applyNumberFormat="1" applyFont="1" applyBorder="1" applyAlignment="1">
      <alignment horizontal="center" vertical="center" wrapText="1"/>
    </xf>
    <xf numFmtId="2" fontId="4" fillId="2" borderId="38" xfId="3" applyNumberFormat="1" applyFont="1" applyFill="1" applyBorder="1" applyAlignment="1">
      <alignment horizontal="center" vertical="distributed" wrapText="1"/>
    </xf>
    <xf numFmtId="0" fontId="4" fillId="2" borderId="38" xfId="3" applyFont="1" applyFill="1" applyBorder="1" applyAlignment="1">
      <alignment horizontal="center" vertical="distributed" wrapText="1"/>
    </xf>
    <xf numFmtId="2" fontId="4" fillId="2" borderId="39" xfId="3" applyNumberFormat="1" applyFont="1" applyFill="1" applyBorder="1" applyAlignment="1">
      <alignment horizontal="center" vertical="distributed" wrapText="1"/>
    </xf>
    <xf numFmtId="0" fontId="4" fillId="0" borderId="37" xfId="3" applyFont="1" applyBorder="1" applyAlignment="1">
      <alignment horizontal="center" vertical="center" wrapText="1"/>
    </xf>
    <xf numFmtId="0" fontId="4" fillId="0" borderId="39" xfId="1" applyNumberFormat="1" applyFont="1" applyFill="1" applyBorder="1" applyAlignment="1">
      <alignment horizontal="center" vertical="center" wrapText="1"/>
    </xf>
    <xf numFmtId="180" fontId="4" fillId="2" borderId="38" xfId="1" applyNumberFormat="1" applyFont="1" applyFill="1" applyBorder="1" applyAlignment="1">
      <alignment horizontal="center" vertical="center" wrapText="1"/>
    </xf>
    <xf numFmtId="174" fontId="4" fillId="0" borderId="26" xfId="3" applyNumberFormat="1" applyFont="1" applyBorder="1" applyAlignment="1">
      <alignment horizontal="center" vertical="center" wrapText="1"/>
    </xf>
    <xf numFmtId="0" fontId="4" fillId="0" borderId="38" xfId="1" applyNumberFormat="1" applyFont="1" applyFill="1" applyBorder="1" applyAlignment="1">
      <alignment horizontal="center" vertical="center" wrapText="1"/>
    </xf>
    <xf numFmtId="171" fontId="4" fillId="0" borderId="38" xfId="3" applyNumberFormat="1" applyFont="1" applyBorder="1" applyAlignment="1">
      <alignment horizontal="center" vertical="center" wrapText="1"/>
    </xf>
    <xf numFmtId="0" fontId="4" fillId="2" borderId="39" xfId="3" applyFont="1" applyFill="1" applyBorder="1" applyAlignment="1">
      <alignment horizontal="left" vertical="distributed" wrapText="1"/>
    </xf>
    <xf numFmtId="1" fontId="47" fillId="2" borderId="26" xfId="3" applyNumberFormat="1" applyFont="1" applyFill="1" applyBorder="1" applyAlignment="1">
      <alignment horizontal="center" vertical="center" wrapText="1"/>
    </xf>
    <xf numFmtId="1" fontId="41" fillId="0" borderId="26" xfId="3" applyNumberFormat="1" applyFont="1" applyBorder="1" applyAlignment="1">
      <alignment horizontal="left" vertical="center" wrapText="1"/>
    </xf>
    <xf numFmtId="2" fontId="41" fillId="2" borderId="26" xfId="3" applyNumberFormat="1" applyFont="1" applyFill="1" applyBorder="1" applyAlignment="1">
      <alignment horizontal="center" vertical="center" wrapText="1"/>
    </xf>
    <xf numFmtId="0" fontId="41" fillId="2" borderId="26" xfId="3" applyFont="1" applyFill="1" applyBorder="1" applyAlignment="1">
      <alignment horizontal="center" vertical="center" wrapText="1"/>
    </xf>
    <xf numFmtId="174" fontId="41" fillId="2" borderId="26" xfId="3" applyNumberFormat="1" applyFont="1" applyFill="1" applyBorder="1" applyAlignment="1">
      <alignment horizontal="center" vertical="center" wrapText="1"/>
    </xf>
    <xf numFmtId="0" fontId="41" fillId="2" borderId="26" xfId="3" applyFont="1" applyFill="1" applyBorder="1" applyAlignment="1">
      <alignment horizontal="center" vertical="top" wrapText="1"/>
    </xf>
    <xf numFmtId="165" fontId="41" fillId="2" borderId="26" xfId="3" applyNumberFormat="1" applyFont="1" applyFill="1" applyBorder="1" applyAlignment="1">
      <alignment horizontal="right" vertical="center" wrapText="1"/>
    </xf>
    <xf numFmtId="171" fontId="41" fillId="2" borderId="26" xfId="3" applyNumberFormat="1" applyFont="1" applyFill="1" applyBorder="1" applyAlignment="1">
      <alignment horizontal="center" vertical="center" wrapText="1"/>
    </xf>
    <xf numFmtId="0" fontId="41" fillId="2" borderId="26" xfId="3" applyFont="1" applyFill="1" applyBorder="1" applyAlignment="1">
      <alignment horizontal="left" vertical="distributed" wrapText="1"/>
    </xf>
    <xf numFmtId="1" fontId="41" fillId="0" borderId="14" xfId="3" applyNumberFormat="1" applyFont="1" applyBorder="1" applyAlignment="1">
      <alignment horizontal="center" vertical="center" wrapText="1"/>
    </xf>
    <xf numFmtId="43" fontId="4" fillId="0" borderId="23" xfId="1" applyFont="1" applyBorder="1" applyAlignment="1">
      <alignment horizontal="center" vertical="center" wrapText="1"/>
    </xf>
    <xf numFmtId="17" fontId="4" fillId="0" borderId="23" xfId="3" applyNumberFormat="1" applyFont="1" applyBorder="1" applyAlignment="1">
      <alignment horizontal="justify" vertical="distributed" wrapText="1"/>
    </xf>
    <xf numFmtId="0" fontId="24" fillId="2" borderId="31" xfId="0" applyFont="1" applyFill="1" applyBorder="1" applyAlignment="1">
      <alignment vertical="center"/>
    </xf>
    <xf numFmtId="176" fontId="4" fillId="2" borderId="16" xfId="3" applyNumberFormat="1" applyFont="1" applyFill="1" applyBorder="1" applyAlignment="1">
      <alignment horizontal="center" vertical="center" wrapText="1"/>
    </xf>
    <xf numFmtId="0" fontId="4" fillId="2" borderId="21" xfId="3" applyFont="1" applyFill="1" applyBorder="1" applyAlignment="1">
      <alignment horizontal="left" vertical="distributed" wrapText="1"/>
    </xf>
    <xf numFmtId="1" fontId="41" fillId="0" borderId="23" xfId="3" applyNumberFormat="1" applyFont="1" applyBorder="1" applyAlignment="1">
      <alignment horizontal="left" vertical="center"/>
    </xf>
    <xf numFmtId="43" fontId="41" fillId="0" borderId="14" xfId="1" applyFont="1" applyBorder="1" applyAlignment="1">
      <alignment horizontal="center" vertical="center" wrapText="1"/>
    </xf>
    <xf numFmtId="0" fontId="4" fillId="0" borderId="23" xfId="3" applyFont="1" applyBorder="1" applyAlignment="1">
      <alignment wrapText="1"/>
    </xf>
    <xf numFmtId="165" fontId="2" fillId="0" borderId="0" xfId="3" applyNumberFormat="1" applyAlignment="1">
      <alignment horizontal="center" vertical="top"/>
    </xf>
    <xf numFmtId="0" fontId="2" fillId="0" borderId="0" xfId="3" applyAlignment="1">
      <alignment vertical="top"/>
    </xf>
    <xf numFmtId="0" fontId="41" fillId="0" borderId="16" xfId="3" applyFont="1" applyBorder="1"/>
    <xf numFmtId="2" fontId="72" fillId="0" borderId="23" xfId="3" applyNumberFormat="1" applyFont="1" applyBorder="1" applyAlignment="1">
      <alignment horizontal="center" vertical="center"/>
    </xf>
    <xf numFmtId="174" fontId="41" fillId="2" borderId="15" xfId="3" applyNumberFormat="1" applyFont="1" applyFill="1" applyBorder="1" applyAlignment="1">
      <alignment horizontal="center" vertical="center" wrapText="1"/>
    </xf>
    <xf numFmtId="165" fontId="41" fillId="2" borderId="23" xfId="3" applyNumberFormat="1" applyFont="1" applyFill="1" applyBorder="1" applyAlignment="1">
      <alignment horizontal="center" vertical="center" wrapText="1"/>
    </xf>
    <xf numFmtId="1" fontId="41" fillId="0" borderId="15" xfId="3" applyNumberFormat="1" applyFont="1" applyBorder="1" applyAlignment="1">
      <alignment horizontal="left" vertical="top" wrapText="1"/>
    </xf>
    <xf numFmtId="1" fontId="47" fillId="2" borderId="33" xfId="3" applyNumberFormat="1" applyFont="1" applyFill="1" applyBorder="1" applyAlignment="1">
      <alignment horizontal="center" vertical="center" wrapText="1"/>
    </xf>
    <xf numFmtId="2" fontId="41" fillId="2" borderId="40" xfId="3" applyNumberFormat="1" applyFont="1" applyFill="1" applyBorder="1" applyAlignment="1">
      <alignment horizontal="center" vertical="center" wrapText="1"/>
    </xf>
    <xf numFmtId="174" fontId="41" fillId="2" borderId="33" xfId="3" applyNumberFormat="1" applyFont="1" applyFill="1" applyBorder="1" applyAlignment="1">
      <alignment horizontal="center" vertical="center" wrapText="1"/>
    </xf>
    <xf numFmtId="1" fontId="4" fillId="0" borderId="84" xfId="3" applyNumberFormat="1" applyFont="1" applyBorder="1" applyAlignment="1">
      <alignment horizontal="left" vertical="center" wrapText="1"/>
    </xf>
    <xf numFmtId="0" fontId="3" fillId="2" borderId="14" xfId="3" applyFont="1" applyFill="1" applyBorder="1" applyAlignment="1">
      <alignment horizontal="center" vertical="center" wrapText="1"/>
    </xf>
    <xf numFmtId="0" fontId="3" fillId="2" borderId="15" xfId="3" applyFont="1" applyFill="1" applyBorder="1" applyAlignment="1">
      <alignment horizontal="center" vertical="center" wrapText="1"/>
    </xf>
    <xf numFmtId="0" fontId="3" fillId="2" borderId="16" xfId="3" applyFont="1" applyFill="1" applyBorder="1" applyAlignment="1">
      <alignment horizontal="center" vertical="center" wrapText="1"/>
    </xf>
    <xf numFmtId="0" fontId="3" fillId="2" borderId="14" xfId="3" applyFont="1" applyFill="1" applyBorder="1" applyAlignment="1">
      <alignment horizontal="center" vertical="distributed" wrapText="1"/>
    </xf>
    <xf numFmtId="0" fontId="3" fillId="2" borderId="15" xfId="3" applyFont="1" applyFill="1" applyBorder="1" applyAlignment="1">
      <alignment horizontal="center" vertical="distributed" wrapText="1"/>
    </xf>
    <xf numFmtId="0" fontId="3" fillId="2" borderId="16" xfId="3" applyFont="1" applyFill="1" applyBorder="1" applyAlignment="1">
      <alignment horizontal="center" vertical="distributed" wrapText="1"/>
    </xf>
    <xf numFmtId="0" fontId="3" fillId="2" borderId="23" xfId="3" applyFont="1" applyFill="1" applyBorder="1" applyAlignment="1">
      <alignment horizontal="center" vertical="center" wrapText="1"/>
    </xf>
    <xf numFmtId="165" fontId="3" fillId="2" borderId="23" xfId="3" applyNumberFormat="1" applyFont="1" applyFill="1" applyBorder="1" applyAlignment="1">
      <alignment horizontal="center" vertical="center" wrapText="1"/>
    </xf>
    <xf numFmtId="0" fontId="76" fillId="2" borderId="0" xfId="3" applyFont="1" applyFill="1"/>
    <xf numFmtId="2" fontId="90" fillId="2" borderId="0" xfId="3" applyNumberFormat="1" applyFont="1" applyFill="1" applyAlignment="1">
      <alignment horizontal="center" vertical="center"/>
    </xf>
    <xf numFmtId="1" fontId="44" fillId="0" borderId="23" xfId="3" applyNumberFormat="1" applyFont="1" applyBorder="1" applyAlignment="1">
      <alignment horizontal="left" vertical="center" wrapText="1"/>
    </xf>
    <xf numFmtId="0" fontId="44" fillId="2" borderId="84" xfId="3" applyFont="1" applyFill="1" applyBorder="1" applyAlignment="1">
      <alignment horizontal="center" vertical="center" wrapText="1"/>
    </xf>
    <xf numFmtId="2" fontId="44" fillId="2" borderId="84" xfId="3" applyNumberFormat="1" applyFont="1" applyFill="1" applyBorder="1" applyAlignment="1">
      <alignment horizontal="center" vertical="center" wrapText="1"/>
    </xf>
    <xf numFmtId="43" fontId="44" fillId="2" borderId="84" xfId="1" applyFont="1" applyFill="1" applyBorder="1" applyAlignment="1">
      <alignment horizontal="center" vertical="center" wrapText="1"/>
    </xf>
    <xf numFmtId="165" fontId="9" fillId="2" borderId="0" xfId="3" applyNumberFormat="1" applyFont="1" applyFill="1" applyAlignment="1">
      <alignment horizontal="center" vertical="center"/>
    </xf>
    <xf numFmtId="0" fontId="9" fillId="2" borderId="0" xfId="3" applyFont="1" applyFill="1"/>
    <xf numFmtId="2" fontId="90" fillId="6" borderId="0" xfId="3" applyNumberFormat="1" applyFont="1" applyFill="1" applyAlignment="1">
      <alignment horizontal="center" vertical="center"/>
    </xf>
    <xf numFmtId="2" fontId="44" fillId="0" borderId="85" xfId="3" applyNumberFormat="1" applyFont="1" applyBorder="1" applyAlignment="1">
      <alignment horizontal="center" vertical="center" wrapText="1"/>
    </xf>
    <xf numFmtId="0" fontId="44" fillId="0" borderId="0" xfId="3" applyFont="1" applyAlignment="1">
      <alignment horizontal="center" vertical="center" wrapText="1"/>
    </xf>
    <xf numFmtId="0" fontId="44" fillId="0" borderId="83" xfId="3" applyFont="1" applyBorder="1" applyAlignment="1">
      <alignment horizontal="center" vertical="center" wrapText="1"/>
    </xf>
    <xf numFmtId="2" fontId="44" fillId="0" borderId="85" xfId="3" applyNumberFormat="1" applyFont="1" applyBorder="1" applyAlignment="1">
      <alignment horizontal="center" vertical="distributed" wrapText="1"/>
    </xf>
    <xf numFmtId="0" fontId="44" fillId="0" borderId="0" xfId="3" applyFont="1" applyAlignment="1">
      <alignment horizontal="center" vertical="distributed" wrapText="1"/>
    </xf>
    <xf numFmtId="2" fontId="44" fillId="0" borderId="83" xfId="3" applyNumberFormat="1" applyFont="1" applyBorder="1" applyAlignment="1">
      <alignment horizontal="center" vertical="distributed" wrapText="1"/>
    </xf>
    <xf numFmtId="0" fontId="44" fillId="0" borderId="84" xfId="3" applyFont="1" applyBorder="1" applyAlignment="1">
      <alignment horizontal="center" vertical="center" wrapText="1"/>
    </xf>
    <xf numFmtId="2" fontId="44" fillId="0" borderId="84" xfId="3" applyNumberFormat="1" applyFont="1" applyBorder="1" applyAlignment="1">
      <alignment horizontal="center" vertical="center" wrapText="1"/>
    </xf>
    <xf numFmtId="174" fontId="44" fillId="0" borderId="84" xfId="3" applyNumberFormat="1" applyFont="1" applyBorder="1" applyAlignment="1">
      <alignment horizontal="center" vertical="center" wrapText="1"/>
    </xf>
    <xf numFmtId="0" fontId="44" fillId="0" borderId="84" xfId="3" applyFont="1" applyBorder="1" applyAlignment="1">
      <alignment horizontal="center" vertical="top" wrapText="1"/>
    </xf>
    <xf numFmtId="9" fontId="44" fillId="0" borderId="84" xfId="2" applyFont="1" applyBorder="1" applyAlignment="1">
      <alignment horizontal="center" vertical="center" wrapText="1"/>
    </xf>
    <xf numFmtId="165" fontId="44" fillId="11" borderId="84" xfId="3" applyNumberFormat="1" applyFont="1" applyFill="1" applyBorder="1" applyAlignment="1">
      <alignment horizontal="right" vertical="center" wrapText="1"/>
    </xf>
    <xf numFmtId="171" fontId="44" fillId="0" borderId="84" xfId="3" applyNumberFormat="1" applyFont="1" applyBorder="1" applyAlignment="1">
      <alignment horizontal="center" vertical="center" wrapText="1"/>
    </xf>
    <xf numFmtId="0" fontId="44" fillId="0" borderId="84" xfId="3" applyFont="1" applyBorder="1" applyAlignment="1">
      <alignment horizontal="justify" vertical="distributed" wrapText="1"/>
    </xf>
    <xf numFmtId="0" fontId="90" fillId="2" borderId="0" xfId="3" applyFont="1" applyFill="1"/>
    <xf numFmtId="0" fontId="9" fillId="6" borderId="0" xfId="3" applyFont="1" applyFill="1"/>
    <xf numFmtId="172" fontId="44" fillId="11" borderId="84" xfId="1" applyNumberFormat="1" applyFont="1" applyFill="1" applyBorder="1" applyAlignment="1">
      <alignment horizontal="right" vertical="distributed" wrapText="1"/>
    </xf>
    <xf numFmtId="165" fontId="3" fillId="11" borderId="23" xfId="3" applyNumberFormat="1" applyFont="1" applyFill="1" applyBorder="1" applyAlignment="1">
      <alignment horizontal="center" vertical="center" wrapText="1"/>
    </xf>
    <xf numFmtId="165" fontId="91" fillId="5" borderId="34" xfId="1" applyNumberFormat="1" applyFont="1" applyFill="1" applyBorder="1" applyAlignment="1">
      <alignment horizontal="center" vertical="center" wrapText="1"/>
    </xf>
    <xf numFmtId="0" fontId="3" fillId="2" borderId="84" xfId="3" applyFont="1" applyFill="1" applyBorder="1" applyAlignment="1">
      <alignment horizontal="center" vertical="distributed" wrapText="1"/>
    </xf>
    <xf numFmtId="0" fontId="13" fillId="2" borderId="1" xfId="3" applyFont="1" applyFill="1" applyBorder="1" applyAlignment="1">
      <alignment horizontal="center" vertical="center" wrapText="1"/>
    </xf>
    <xf numFmtId="0" fontId="13" fillId="2" borderId="3" xfId="3" applyFont="1" applyFill="1" applyBorder="1" applyAlignment="1">
      <alignment horizontal="center" vertical="center" wrapText="1"/>
    </xf>
    <xf numFmtId="0" fontId="3" fillId="2" borderId="20" xfId="3" applyFont="1" applyFill="1" applyBorder="1" applyAlignment="1">
      <alignment horizontal="center" vertical="center" wrapText="1"/>
    </xf>
    <xf numFmtId="165" fontId="3" fillId="2" borderId="20" xfId="3" applyNumberFormat="1" applyFont="1" applyFill="1" applyBorder="1" applyAlignment="1">
      <alignment horizontal="center" vertical="center" wrapText="1"/>
    </xf>
    <xf numFmtId="0" fontId="0" fillId="0" borderId="18" xfId="0" applyBorder="1"/>
    <xf numFmtId="0" fontId="92" fillId="2" borderId="14" xfId="3" applyFont="1" applyFill="1" applyBorder="1" applyAlignment="1">
      <alignment horizontal="center" vertical="center" wrapText="1"/>
    </xf>
    <xf numFmtId="2" fontId="4" fillId="0" borderId="14" xfId="1" applyNumberFormat="1" applyFont="1" applyFill="1" applyBorder="1" applyAlignment="1">
      <alignment horizontal="right" vertical="center" wrapText="1"/>
    </xf>
    <xf numFmtId="174" fontId="39" fillId="0" borderId="31" xfId="3" applyNumberFormat="1" applyFont="1" applyBorder="1" applyAlignment="1">
      <alignment horizontal="right" vertical="center" wrapText="1"/>
    </xf>
    <xf numFmtId="174" fontId="39" fillId="0" borderId="26" xfId="3" applyNumberFormat="1" applyFont="1" applyBorder="1" applyAlignment="1">
      <alignment horizontal="right" vertical="center" wrapText="1"/>
    </xf>
    <xf numFmtId="174" fontId="39" fillId="0" borderId="84" xfId="3" applyNumberFormat="1" applyFont="1" applyBorder="1" applyAlignment="1">
      <alignment horizontal="right" vertical="center" wrapText="1"/>
    </xf>
    <xf numFmtId="174" fontId="4" fillId="0" borderId="84" xfId="3" applyNumberFormat="1" applyFont="1" applyBorder="1" applyAlignment="1">
      <alignment horizontal="right" vertical="center" wrapText="1"/>
    </xf>
    <xf numFmtId="0" fontId="39" fillId="0" borderId="32" xfId="1" applyNumberFormat="1" applyFont="1" applyFill="1" applyBorder="1" applyAlignment="1">
      <alignment horizontal="center" wrapText="1"/>
    </xf>
    <xf numFmtId="0" fontId="39" fillId="0" borderId="14" xfId="1" applyNumberFormat="1" applyFont="1" applyFill="1" applyBorder="1" applyAlignment="1">
      <alignment horizontal="center" wrapText="1"/>
    </xf>
    <xf numFmtId="0" fontId="39" fillId="0" borderId="37" xfId="1" applyNumberFormat="1" applyFont="1" applyFill="1" applyBorder="1" applyAlignment="1">
      <alignment horizontal="center" wrapText="1"/>
    </xf>
    <xf numFmtId="4" fontId="4" fillId="0" borderId="21" xfId="3" applyNumberFormat="1" applyFont="1" applyBorder="1" applyAlignment="1">
      <alignment horizontal="center" vertical="center" wrapText="1"/>
    </xf>
    <xf numFmtId="4" fontId="39" fillId="0" borderId="23" xfId="3" applyNumberFormat="1" applyFont="1" applyBorder="1" applyAlignment="1">
      <alignment horizontal="center" vertical="center" wrapText="1"/>
    </xf>
    <xf numFmtId="4" fontId="4" fillId="0" borderId="23" xfId="3" applyNumberFormat="1" applyFont="1" applyBorder="1" applyAlignment="1">
      <alignment horizontal="center" vertical="center" wrapText="1"/>
    </xf>
    <xf numFmtId="4" fontId="4" fillId="2" borderId="30" xfId="1" applyNumberFormat="1" applyFont="1" applyFill="1" applyBorder="1" applyAlignment="1">
      <alignment horizontal="center" vertical="distributed" wrapText="1"/>
    </xf>
    <xf numFmtId="0" fontId="4" fillId="0" borderId="0" xfId="3" applyFont="1" applyAlignment="1">
      <alignment horizontal="center" wrapText="1"/>
    </xf>
    <xf numFmtId="2" fontId="4" fillId="0" borderId="0" xfId="3" applyNumberFormat="1" applyFont="1" applyAlignment="1">
      <alignment horizontal="center" vertical="center" wrapText="1"/>
    </xf>
    <xf numFmtId="0" fontId="4" fillId="0" borderId="83" xfId="3" applyFont="1" applyBorder="1" applyAlignment="1">
      <alignment horizontal="left" vertical="distributed" wrapText="1"/>
    </xf>
    <xf numFmtId="172" fontId="4" fillId="2" borderId="20" xfId="1" applyNumberFormat="1" applyFont="1" applyFill="1" applyBorder="1" applyAlignment="1">
      <alignment horizontal="right" vertical="distributed" wrapText="1"/>
    </xf>
    <xf numFmtId="172" fontId="4" fillId="0" borderId="20" xfId="1" applyNumberFormat="1" applyFont="1" applyFill="1" applyBorder="1" applyAlignment="1">
      <alignment horizontal="right" vertical="distributed" wrapText="1"/>
    </xf>
    <xf numFmtId="172" fontId="44" fillId="0" borderId="84" xfId="1" applyNumberFormat="1" applyFont="1" applyFill="1" applyBorder="1" applyAlignment="1">
      <alignment horizontal="right" vertical="distributed" wrapText="1"/>
    </xf>
    <xf numFmtId="165" fontId="39" fillId="0" borderId="23" xfId="3" applyNumberFormat="1" applyFont="1" applyBorder="1" applyAlignment="1">
      <alignment horizontal="right" vertical="center" wrapText="1"/>
    </xf>
    <xf numFmtId="0" fontId="47" fillId="2" borderId="83" xfId="3" applyFont="1" applyFill="1" applyBorder="1" applyAlignment="1">
      <alignment horizontal="center" vertical="distributed" wrapText="1"/>
    </xf>
    <xf numFmtId="165" fontId="27" fillId="0" borderId="23" xfId="3" applyNumberFormat="1" applyFont="1" applyBorder="1" applyAlignment="1">
      <alignment horizontal="right" vertical="center"/>
    </xf>
    <xf numFmtId="165" fontId="81" fillId="0" borderId="23" xfId="3" applyNumberFormat="1" applyFont="1" applyBorder="1" applyAlignment="1">
      <alignment horizontal="right" vertical="center"/>
    </xf>
    <xf numFmtId="0" fontId="4" fillId="0" borderId="16" xfId="3" applyFont="1" applyBorder="1" applyAlignment="1">
      <alignment horizontal="left" vertical="center"/>
    </xf>
    <xf numFmtId="0" fontId="53" fillId="0" borderId="16" xfId="3" applyFont="1" applyBorder="1" applyAlignment="1">
      <alignment horizontal="left"/>
    </xf>
    <xf numFmtId="0" fontId="41" fillId="0" borderId="16" xfId="3" applyFont="1" applyBorder="1" applyAlignment="1">
      <alignment horizontal="left" vertical="center"/>
    </xf>
    <xf numFmtId="2" fontId="41" fillId="2" borderId="6" xfId="3" applyNumberFormat="1" applyFont="1" applyFill="1" applyBorder="1" applyAlignment="1">
      <alignment horizontal="center" vertical="center" wrapText="1"/>
    </xf>
    <xf numFmtId="2" fontId="41" fillId="2" borderId="19" xfId="3" applyNumberFormat="1" applyFont="1" applyFill="1" applyBorder="1" applyAlignment="1">
      <alignment horizontal="center" vertical="center" wrapText="1"/>
    </xf>
    <xf numFmtId="0" fontId="41" fillId="0" borderId="83" xfId="3" applyFont="1" applyBorder="1"/>
    <xf numFmtId="0" fontId="52" fillId="0" borderId="83" xfId="3" applyFont="1" applyBorder="1"/>
    <xf numFmtId="0" fontId="41" fillId="0" borderId="32" xfId="3" applyFont="1" applyBorder="1" applyAlignment="1">
      <alignment horizontal="center" vertical="center" wrapText="1"/>
    </xf>
    <xf numFmtId="0" fontId="41" fillId="0" borderId="40" xfId="3" applyFont="1" applyBorder="1" applyAlignment="1">
      <alignment horizontal="center" vertical="top" wrapText="1"/>
    </xf>
    <xf numFmtId="0" fontId="41" fillId="0" borderId="30" xfId="3" applyFont="1" applyBorder="1" applyAlignment="1">
      <alignment horizontal="center" vertical="center" wrapText="1"/>
    </xf>
    <xf numFmtId="1" fontId="4" fillId="0" borderId="0" xfId="3" applyNumberFormat="1" applyFont="1" applyAlignment="1">
      <alignment horizontal="center" vertical="top" wrapText="1"/>
    </xf>
    <xf numFmtId="0" fontId="53" fillId="0" borderId="83" xfId="3" applyFont="1" applyBorder="1"/>
    <xf numFmtId="0" fontId="41" fillId="0" borderId="83" xfId="3" applyFont="1" applyBorder="1" applyAlignment="1">
      <alignment wrapText="1"/>
    </xf>
    <xf numFmtId="1" fontId="3" fillId="2" borderId="26" xfId="3" applyNumberFormat="1" applyFont="1" applyFill="1" applyBorder="1" applyAlignment="1">
      <alignment horizontal="center" vertical="center" wrapText="1"/>
    </xf>
    <xf numFmtId="1" fontId="4" fillId="0" borderId="26" xfId="3" applyNumberFormat="1" applyFont="1" applyBorder="1" applyAlignment="1">
      <alignment horizontal="left" vertical="center" wrapText="1"/>
    </xf>
    <xf numFmtId="0" fontId="4" fillId="2" borderId="26" xfId="3" applyFont="1" applyFill="1" applyBorder="1" applyAlignment="1">
      <alignment horizontal="center" vertical="top" wrapText="1"/>
    </xf>
    <xf numFmtId="165" fontId="4" fillId="2" borderId="26" xfId="3" applyNumberFormat="1" applyFont="1" applyFill="1" applyBorder="1" applyAlignment="1">
      <alignment horizontal="right" vertical="center" wrapText="1"/>
    </xf>
    <xf numFmtId="1" fontId="4" fillId="2" borderId="32" xfId="3" applyNumberFormat="1" applyFont="1" applyFill="1" applyBorder="1" applyAlignment="1">
      <alignment horizontal="center" vertical="center" wrapText="1"/>
    </xf>
    <xf numFmtId="43" fontId="4" fillId="2" borderId="33" xfId="1" applyFont="1" applyFill="1" applyBorder="1" applyAlignment="1">
      <alignment horizontal="center" vertical="distributed" wrapText="1"/>
    </xf>
    <xf numFmtId="0" fontId="36" fillId="2" borderId="2" xfId="0" applyFont="1" applyFill="1" applyBorder="1" applyAlignment="1">
      <alignment vertical="center" wrapText="1"/>
    </xf>
    <xf numFmtId="0" fontId="4" fillId="2" borderId="84" xfId="3" applyFont="1" applyFill="1" applyBorder="1" applyAlignment="1">
      <alignment horizontal="center" vertical="center" wrapText="1"/>
    </xf>
    <xf numFmtId="43" fontId="4" fillId="0" borderId="40" xfId="1" applyFont="1" applyFill="1" applyBorder="1" applyAlignment="1">
      <alignment horizontal="center" vertical="center" wrapText="1"/>
    </xf>
    <xf numFmtId="43" fontId="4" fillId="0" borderId="32" xfId="1" applyFont="1" applyFill="1" applyBorder="1" applyAlignment="1">
      <alignment horizontal="center" vertical="distributed" wrapText="1"/>
    </xf>
    <xf numFmtId="43" fontId="4" fillId="0" borderId="33" xfId="1" applyFont="1" applyFill="1" applyBorder="1" applyAlignment="1">
      <alignment horizontal="center" vertical="center" wrapText="1"/>
    </xf>
    <xf numFmtId="43" fontId="4" fillId="0" borderId="30" xfId="1" applyFont="1" applyFill="1" applyBorder="1" applyAlignment="1">
      <alignment horizontal="center" vertical="distributed" wrapText="1"/>
    </xf>
    <xf numFmtId="172" fontId="4" fillId="0" borderId="33" xfId="1" applyNumberFormat="1" applyFont="1" applyFill="1" applyBorder="1" applyAlignment="1">
      <alignment horizontal="right" vertical="distributed" wrapText="1"/>
    </xf>
    <xf numFmtId="171" fontId="4" fillId="0" borderId="40" xfId="3" applyNumberFormat="1" applyFont="1" applyBorder="1" applyAlignment="1">
      <alignment horizontal="center" vertical="center" wrapText="1"/>
    </xf>
    <xf numFmtId="0" fontId="47" fillId="2" borderId="84" xfId="3" applyFont="1" applyFill="1" applyBorder="1" applyAlignment="1">
      <alignment horizontal="center" vertical="distributed" wrapText="1"/>
    </xf>
    <xf numFmtId="0" fontId="3" fillId="2" borderId="31" xfId="0" applyFont="1" applyFill="1" applyBorder="1" applyAlignment="1">
      <alignment vertical="center" wrapText="1"/>
    </xf>
    <xf numFmtId="0" fontId="47" fillId="2" borderId="33" xfId="3" applyFont="1" applyFill="1" applyBorder="1" applyAlignment="1">
      <alignment horizontal="center" vertical="distributed" wrapText="1"/>
    </xf>
    <xf numFmtId="0" fontId="3" fillId="2" borderId="2" xfId="0" applyFont="1" applyFill="1" applyBorder="1" applyAlignment="1">
      <alignment vertical="center" wrapText="1"/>
    </xf>
    <xf numFmtId="49" fontId="4" fillId="2" borderId="33" xfId="12" applyNumberFormat="1" applyFont="1" applyFill="1" applyBorder="1" applyAlignment="1">
      <alignment horizontal="center" vertical="top" wrapText="1"/>
    </xf>
    <xf numFmtId="1" fontId="4" fillId="0" borderId="84" xfId="3" applyNumberFormat="1" applyFont="1" applyBorder="1" applyAlignment="1">
      <alignment horizontal="center" vertical="top" wrapText="1"/>
    </xf>
    <xf numFmtId="43" fontId="4" fillId="2" borderId="33" xfId="1" applyFont="1" applyFill="1" applyBorder="1" applyAlignment="1">
      <alignment horizontal="center" vertical="top" wrapText="1"/>
    </xf>
    <xf numFmtId="43" fontId="4" fillId="2" borderId="30" xfId="1" applyFont="1" applyFill="1" applyBorder="1" applyAlignment="1">
      <alignment horizontal="center" vertical="top" wrapText="1"/>
    </xf>
    <xf numFmtId="43" fontId="4" fillId="2" borderId="32" xfId="1" applyFont="1" applyFill="1" applyBorder="1" applyAlignment="1">
      <alignment horizontal="center" vertical="top" wrapText="1"/>
    </xf>
    <xf numFmtId="172" fontId="4" fillId="2" borderId="33" xfId="1" applyNumberFormat="1" applyFont="1" applyFill="1" applyBorder="1" applyAlignment="1">
      <alignment horizontal="center" vertical="top" wrapText="1"/>
    </xf>
    <xf numFmtId="171" fontId="4" fillId="2" borderId="33" xfId="3" applyNumberFormat="1" applyFont="1" applyFill="1" applyBorder="1" applyAlignment="1">
      <alignment horizontal="center" vertical="top" wrapText="1"/>
    </xf>
    <xf numFmtId="1" fontId="3" fillId="2" borderId="7" xfId="0" applyNumberFormat="1" applyFont="1" applyFill="1" applyBorder="1" applyAlignment="1">
      <alignment vertical="center" wrapText="1"/>
    </xf>
    <xf numFmtId="0" fontId="3" fillId="2" borderId="10" xfId="0" applyFont="1" applyFill="1" applyBorder="1" applyAlignment="1">
      <alignment vertical="center" wrapText="1"/>
    </xf>
    <xf numFmtId="0" fontId="3" fillId="0" borderId="31" xfId="0" applyFont="1" applyBorder="1" applyAlignment="1">
      <alignment vertical="center" wrapText="1"/>
    </xf>
    <xf numFmtId="0" fontId="3" fillId="0" borderId="17" xfId="0" applyFont="1" applyBorder="1" applyAlignment="1">
      <alignment vertical="center" wrapText="1"/>
    </xf>
    <xf numFmtId="0" fontId="3" fillId="0" borderId="34" xfId="0" applyFont="1" applyBorder="1" applyAlignment="1">
      <alignment vertical="center" wrapText="1"/>
    </xf>
    <xf numFmtId="171" fontId="41" fillId="0" borderId="84" xfId="3" applyNumberFormat="1" applyFont="1" applyBorder="1" applyAlignment="1">
      <alignment horizontal="center" vertical="center" wrapText="1"/>
    </xf>
    <xf numFmtId="1" fontId="4" fillId="2" borderId="33" xfId="3" applyNumberFormat="1" applyFont="1" applyFill="1" applyBorder="1" applyAlignment="1">
      <alignment horizontal="left" vertical="center" wrapText="1"/>
    </xf>
    <xf numFmtId="1" fontId="41" fillId="0" borderId="33" xfId="3" applyNumberFormat="1" applyFont="1" applyBorder="1" applyAlignment="1">
      <alignment vertical="center" wrapText="1"/>
    </xf>
    <xf numFmtId="0" fontId="41" fillId="2" borderId="33" xfId="3" applyFont="1" applyFill="1" applyBorder="1" applyAlignment="1">
      <alignment horizontal="left" vertical="center" wrapText="1"/>
    </xf>
    <xf numFmtId="0" fontId="41" fillId="2" borderId="33" xfId="12" applyFont="1" applyFill="1" applyBorder="1" applyAlignment="1">
      <alignment horizontal="left" vertical="center" wrapText="1"/>
    </xf>
    <xf numFmtId="1" fontId="41" fillId="2" borderId="32" xfId="3" applyNumberFormat="1" applyFont="1" applyFill="1" applyBorder="1" applyAlignment="1">
      <alignment horizontal="center" vertical="center" wrapText="1"/>
    </xf>
    <xf numFmtId="1" fontId="41" fillId="2" borderId="30" xfId="3" applyNumberFormat="1" applyFont="1" applyFill="1" applyBorder="1" applyAlignment="1">
      <alignment horizontal="center" vertical="center" wrapText="1"/>
    </xf>
    <xf numFmtId="43" fontId="41" fillId="2" borderId="33" xfId="1" applyFont="1" applyFill="1" applyBorder="1" applyAlignment="1">
      <alignment horizontal="center" vertical="distributed" wrapText="1"/>
    </xf>
    <xf numFmtId="0" fontId="4" fillId="2" borderId="84" xfId="3" applyFont="1" applyFill="1" applyBorder="1" applyAlignment="1">
      <alignment horizontal="center" vertical="distributed" wrapText="1"/>
    </xf>
    <xf numFmtId="49" fontId="39" fillId="2" borderId="31" xfId="12" applyNumberFormat="1" applyFont="1" applyFill="1" applyBorder="1" applyAlignment="1">
      <alignment horizontal="center" vertical="center" wrapText="1"/>
    </xf>
    <xf numFmtId="0" fontId="41" fillId="0" borderId="33" xfId="3" applyFont="1" applyBorder="1" applyAlignment="1">
      <alignment horizontal="center" vertical="center" wrapText="1"/>
    </xf>
    <xf numFmtId="0" fontId="39" fillId="0" borderId="22" xfId="3" applyFont="1" applyBorder="1" applyAlignment="1">
      <alignment wrapText="1"/>
    </xf>
    <xf numFmtId="0" fontId="39" fillId="0" borderId="47" xfId="3" applyFont="1" applyBorder="1" applyAlignment="1">
      <alignment horizontal="center" wrapText="1"/>
    </xf>
    <xf numFmtId="1" fontId="41" fillId="0" borderId="84" xfId="3" applyNumberFormat="1" applyFont="1" applyBorder="1" applyAlignment="1">
      <alignment horizontal="left" vertical="center" wrapText="1"/>
    </xf>
    <xf numFmtId="2" fontId="35" fillId="0" borderId="32" xfId="3" applyNumberFormat="1" applyFont="1" applyBorder="1" applyAlignment="1">
      <alignment horizontal="center" vertical="center"/>
    </xf>
    <xf numFmtId="2" fontId="35" fillId="0" borderId="40" xfId="3" applyNumberFormat="1" applyFont="1" applyBorder="1" applyAlignment="1">
      <alignment vertical="center"/>
    </xf>
    <xf numFmtId="2" fontId="35" fillId="0" borderId="30" xfId="3" applyNumberFormat="1" applyFont="1" applyBorder="1" applyAlignment="1">
      <alignment horizontal="center" vertical="center"/>
    </xf>
    <xf numFmtId="2" fontId="41" fillId="2" borderId="84" xfId="3" applyNumberFormat="1" applyFont="1" applyFill="1" applyBorder="1" applyAlignment="1">
      <alignment horizontal="center" vertical="center" wrapText="1"/>
    </xf>
    <xf numFmtId="1" fontId="39" fillId="2" borderId="32" xfId="3" applyNumberFormat="1" applyFont="1" applyFill="1" applyBorder="1" applyAlignment="1">
      <alignment horizontal="right" vertical="center" wrapText="1"/>
    </xf>
    <xf numFmtId="1" fontId="39" fillId="2" borderId="40" xfId="3" applyNumberFormat="1" applyFont="1" applyFill="1" applyBorder="1" applyAlignment="1">
      <alignment horizontal="center" vertical="center" wrapText="1"/>
    </xf>
    <xf numFmtId="2" fontId="39" fillId="2" borderId="30" xfId="3" applyNumberFormat="1" applyFont="1" applyFill="1" applyBorder="1" applyAlignment="1">
      <alignment horizontal="left" vertical="center" wrapText="1"/>
    </xf>
    <xf numFmtId="43" fontId="39" fillId="2" borderId="33" xfId="1" applyFont="1" applyFill="1" applyBorder="1" applyAlignment="1">
      <alignment horizontal="center" vertical="center" wrapText="1"/>
    </xf>
    <xf numFmtId="43" fontId="39" fillId="2" borderId="32" xfId="1" applyFont="1" applyFill="1" applyBorder="1" applyAlignment="1">
      <alignment horizontal="center" vertical="distributed" wrapText="1"/>
    </xf>
    <xf numFmtId="172" fontId="39" fillId="2" borderId="33" xfId="1" applyNumberFormat="1" applyFont="1" applyFill="1" applyBorder="1" applyAlignment="1">
      <alignment horizontal="right" vertical="distributed" wrapText="1"/>
    </xf>
    <xf numFmtId="43" fontId="39" fillId="2" borderId="33" xfId="1" applyFont="1" applyFill="1" applyBorder="1" applyAlignment="1">
      <alignment horizontal="center" vertical="distributed" wrapText="1"/>
    </xf>
    <xf numFmtId="0" fontId="39" fillId="2" borderId="33" xfId="3" applyFont="1" applyFill="1" applyBorder="1" applyAlignment="1">
      <alignment horizontal="center" vertical="distributed" wrapText="1"/>
    </xf>
    <xf numFmtId="1" fontId="4" fillId="0" borderId="40" xfId="3" applyNumberFormat="1" applyFont="1" applyBorder="1" applyAlignment="1">
      <alignment horizontal="left" vertical="center" wrapText="1"/>
    </xf>
    <xf numFmtId="0" fontId="4" fillId="2" borderId="30" xfId="3" applyFont="1" applyFill="1" applyBorder="1" applyAlignment="1">
      <alignment horizontal="left" vertical="distributed" wrapText="1"/>
    </xf>
    <xf numFmtId="1" fontId="47" fillId="0" borderId="33" xfId="3" applyNumberFormat="1" applyFont="1" applyBorder="1" applyAlignment="1">
      <alignment horizontal="center" vertical="top" wrapText="1"/>
    </xf>
    <xf numFmtId="2" fontId="41" fillId="0" borderId="32" xfId="3" applyNumberFormat="1" applyFont="1" applyBorder="1" applyAlignment="1">
      <alignment horizontal="center" vertical="top" wrapText="1"/>
    </xf>
    <xf numFmtId="2" fontId="41" fillId="0" borderId="30" xfId="3" applyNumberFormat="1" applyFont="1" applyBorder="1" applyAlignment="1">
      <alignment horizontal="center" vertical="top" wrapText="1"/>
    </xf>
    <xf numFmtId="0" fontId="41" fillId="0" borderId="33" xfId="3" applyFont="1" applyBorder="1" applyAlignment="1">
      <alignment horizontal="center" vertical="top" wrapText="1"/>
    </xf>
    <xf numFmtId="0" fontId="41" fillId="0" borderId="30" xfId="3" applyFont="1" applyBorder="1" applyAlignment="1">
      <alignment horizontal="center" vertical="top" wrapText="1"/>
    </xf>
    <xf numFmtId="174" fontId="41" fillId="0" borderId="32" xfId="3" applyNumberFormat="1" applyFont="1" applyBorder="1" applyAlignment="1">
      <alignment horizontal="center" vertical="top" wrapText="1"/>
    </xf>
    <xf numFmtId="165" fontId="41" fillId="0" borderId="33" xfId="3" applyNumberFormat="1" applyFont="1" applyBorder="1" applyAlignment="1">
      <alignment horizontal="right" vertical="center" wrapText="1"/>
    </xf>
    <xf numFmtId="171" fontId="41" fillId="0" borderId="33" xfId="3" applyNumberFormat="1" applyFont="1" applyBorder="1" applyAlignment="1">
      <alignment horizontal="center" vertical="top" wrapText="1"/>
    </xf>
    <xf numFmtId="0" fontId="41" fillId="0" borderId="33" xfId="3" applyFont="1" applyBorder="1" applyAlignment="1">
      <alignment horizontal="justify" vertical="top" wrapText="1"/>
    </xf>
    <xf numFmtId="0" fontId="41" fillId="2" borderId="33" xfId="3" applyFont="1" applyFill="1" applyBorder="1" applyAlignment="1">
      <alignment horizontal="center" vertical="distributed" wrapText="1"/>
    </xf>
    <xf numFmtId="1" fontId="47" fillId="0" borderId="33" xfId="3" applyNumberFormat="1" applyFont="1" applyBorder="1" applyAlignment="1">
      <alignment horizontal="center" vertical="center" wrapText="1"/>
    </xf>
    <xf numFmtId="4" fontId="41" fillId="0" borderId="33" xfId="3" applyNumberFormat="1" applyFont="1" applyBorder="1" applyAlignment="1">
      <alignment horizontal="right" vertical="center" wrapText="1"/>
    </xf>
    <xf numFmtId="2" fontId="27" fillId="0" borderId="32" xfId="3" applyNumberFormat="1" applyFont="1" applyBorder="1" applyAlignment="1">
      <alignment horizontal="center" vertical="center"/>
    </xf>
    <xf numFmtId="2" fontId="27" fillId="0" borderId="40" xfId="3" applyNumberFormat="1" applyFont="1" applyBorder="1" applyAlignment="1">
      <alignment vertical="center"/>
    </xf>
    <xf numFmtId="2" fontId="27" fillId="0" borderId="30" xfId="3" applyNumberFormat="1" applyFont="1" applyBorder="1" applyAlignment="1">
      <alignment horizontal="center" vertical="center"/>
    </xf>
    <xf numFmtId="2" fontId="4" fillId="2" borderId="84" xfId="3" applyNumberFormat="1" applyFont="1" applyFill="1" applyBorder="1" applyAlignment="1">
      <alignment horizontal="center" vertical="center" wrapText="1"/>
    </xf>
    <xf numFmtId="1" fontId="3" fillId="0" borderId="33" xfId="3" applyNumberFormat="1" applyFont="1" applyBorder="1" applyAlignment="1">
      <alignment horizontal="center" vertical="center" wrapText="1"/>
    </xf>
    <xf numFmtId="165" fontId="4" fillId="0" borderId="33" xfId="3" applyNumberFormat="1" applyFont="1" applyBorder="1" applyAlignment="1">
      <alignment horizontal="right" vertical="center" wrapText="1"/>
    </xf>
    <xf numFmtId="0" fontId="3" fillId="0" borderId="33" xfId="3" applyFont="1" applyBorder="1" applyAlignment="1">
      <alignment horizontal="left" vertical="distributed" wrapText="1"/>
    </xf>
    <xf numFmtId="49" fontId="4" fillId="0" borderId="31" xfId="12" applyNumberFormat="1" applyFont="1" applyBorder="1" applyAlignment="1">
      <alignment horizontal="center" vertical="center" wrapText="1"/>
    </xf>
    <xf numFmtId="0" fontId="41" fillId="0" borderId="40" xfId="3" applyFont="1" applyBorder="1"/>
    <xf numFmtId="0" fontId="41" fillId="0" borderId="40" xfId="3" applyFont="1" applyBorder="1" applyAlignment="1">
      <alignment horizontal="center" vertical="distributed" wrapText="1"/>
    </xf>
    <xf numFmtId="0" fontId="41" fillId="0" borderId="30" xfId="3" applyFont="1" applyBorder="1"/>
    <xf numFmtId="0" fontId="4" fillId="0" borderId="40" xfId="3" applyFont="1" applyBorder="1" applyAlignment="1">
      <alignment horizontal="center" vertical="center"/>
    </xf>
    <xf numFmtId="17" fontId="4" fillId="2" borderId="33" xfId="12" applyNumberFormat="1" applyFont="1" applyFill="1" applyBorder="1" applyAlignment="1">
      <alignment horizontal="center" vertical="center" wrapText="1"/>
    </xf>
    <xf numFmtId="17" fontId="47" fillId="2" borderId="33" xfId="3" applyNumberFormat="1" applyFont="1" applyFill="1" applyBorder="1" applyAlignment="1">
      <alignment horizontal="center" vertical="distributed" wrapText="1"/>
    </xf>
    <xf numFmtId="17" fontId="41" fillId="0" borderId="33" xfId="3" applyNumberFormat="1" applyFont="1" applyBorder="1" applyAlignment="1">
      <alignment horizontal="left" vertical="center" wrapText="1"/>
    </xf>
    <xf numFmtId="1" fontId="41" fillId="0" borderId="40" xfId="3" applyNumberFormat="1" applyFont="1" applyBorder="1" applyAlignment="1">
      <alignment horizontal="left" vertical="center" wrapText="1"/>
    </xf>
    <xf numFmtId="1" fontId="36" fillId="2" borderId="7" xfId="3" applyNumberFormat="1" applyFont="1" applyFill="1" applyBorder="1" applyAlignment="1">
      <alignment horizontal="center" vertical="center" wrapText="1"/>
    </xf>
    <xf numFmtId="1" fontId="36" fillId="0" borderId="7" xfId="3" applyNumberFormat="1" applyFont="1" applyBorder="1" applyAlignment="1">
      <alignment vertical="center" wrapText="1"/>
    </xf>
    <xf numFmtId="0" fontId="36" fillId="2" borderId="7" xfId="3" applyFont="1" applyFill="1" applyBorder="1" applyAlignment="1">
      <alignment vertical="center" wrapText="1"/>
    </xf>
    <xf numFmtId="0" fontId="36" fillId="2" borderId="7" xfId="3" applyFont="1" applyFill="1" applyBorder="1" applyAlignment="1">
      <alignment horizontal="center" vertical="center" wrapText="1"/>
    </xf>
    <xf numFmtId="165" fontId="36" fillId="2" borderId="7" xfId="3" applyNumberFormat="1" applyFont="1" applyFill="1" applyBorder="1" applyAlignment="1">
      <alignment vertical="center" wrapText="1"/>
    </xf>
    <xf numFmtId="0" fontId="36" fillId="2" borderId="7" xfId="3" applyFont="1" applyFill="1" applyBorder="1" applyAlignment="1">
      <alignment vertical="distributed" wrapText="1"/>
    </xf>
    <xf numFmtId="1" fontId="36" fillId="2" borderId="21" xfId="3" applyNumberFormat="1" applyFont="1" applyFill="1" applyBorder="1" applyAlignment="1">
      <alignment vertical="center" wrapText="1"/>
    </xf>
    <xf numFmtId="0" fontId="36" fillId="2" borderId="21" xfId="3" applyFont="1" applyFill="1" applyBorder="1" applyAlignment="1">
      <alignment vertical="center" wrapText="1"/>
    </xf>
    <xf numFmtId="0" fontId="36" fillId="2" borderId="21" xfId="3" applyFont="1" applyFill="1" applyBorder="1" applyAlignment="1">
      <alignment horizontal="center" vertical="top" wrapText="1"/>
    </xf>
    <xf numFmtId="165" fontId="36" fillId="2" borderId="21" xfId="3" applyNumberFormat="1" applyFont="1" applyFill="1" applyBorder="1" applyAlignment="1">
      <alignment vertical="center" wrapText="1"/>
    </xf>
    <xf numFmtId="0" fontId="36" fillId="2" borderId="21" xfId="3" applyFont="1" applyFill="1" applyBorder="1" applyAlignment="1">
      <alignment vertical="distributed" wrapText="1"/>
    </xf>
    <xf numFmtId="0" fontId="4" fillId="0" borderId="33" xfId="3" applyFont="1" applyBorder="1" applyAlignment="1">
      <alignment horizontal="center" vertical="distributed" wrapText="1"/>
    </xf>
    <xf numFmtId="0" fontId="52" fillId="0" borderId="33" xfId="3" applyFont="1" applyBorder="1"/>
    <xf numFmtId="1" fontId="4" fillId="0" borderId="84" xfId="3" applyNumberFormat="1" applyFont="1" applyBorder="1" applyAlignment="1">
      <alignment horizontal="left" vertical="top" wrapText="1"/>
    </xf>
    <xf numFmtId="0" fontId="4" fillId="2" borderId="84" xfId="3" applyFont="1" applyFill="1" applyBorder="1" applyAlignment="1">
      <alignment horizontal="center" vertical="top" wrapText="1"/>
    </xf>
    <xf numFmtId="171" fontId="4" fillId="2" borderId="84" xfId="3" applyNumberFormat="1" applyFont="1" applyFill="1" applyBorder="1" applyAlignment="1">
      <alignment horizontal="center" vertical="center" wrapText="1"/>
    </xf>
    <xf numFmtId="0" fontId="76" fillId="0" borderId="84" xfId="3" applyFont="1" applyBorder="1" applyAlignment="1">
      <alignment horizontal="center" vertical="center"/>
    </xf>
    <xf numFmtId="49" fontId="39" fillId="2" borderId="7" xfId="12" applyNumberFormat="1" applyFont="1" applyFill="1" applyBorder="1" applyAlignment="1">
      <alignment horizontal="center" vertical="center" wrapText="1"/>
    </xf>
    <xf numFmtId="0" fontId="39" fillId="2" borderId="7" xfId="12" applyFont="1" applyFill="1" applyBorder="1" applyAlignment="1">
      <alignment horizontal="left" vertical="center" wrapText="1"/>
    </xf>
    <xf numFmtId="0" fontId="4" fillId="0" borderId="20" xfId="3" applyFont="1" applyBorder="1" applyAlignment="1">
      <alignment horizontal="center" vertical="center" wrapText="1"/>
    </xf>
    <xf numFmtId="49" fontId="4" fillId="2" borderId="94" xfId="12" applyNumberFormat="1" applyFont="1" applyFill="1" applyBorder="1" applyAlignment="1">
      <alignment horizontal="center" vertical="center" wrapText="1"/>
    </xf>
    <xf numFmtId="2" fontId="4" fillId="2" borderId="23" xfId="3" applyNumberFormat="1" applyFont="1" applyFill="1" applyBorder="1" applyAlignment="1">
      <alignment horizontal="center" vertical="distributed" wrapText="1"/>
    </xf>
    <xf numFmtId="0" fontId="4" fillId="2" borderId="101" xfId="3" applyFont="1" applyFill="1" applyBorder="1" applyAlignment="1">
      <alignment horizontal="left" vertical="distributed" wrapText="1"/>
    </xf>
    <xf numFmtId="43" fontId="41" fillId="2" borderId="26" xfId="1" applyFont="1" applyFill="1" applyBorder="1" applyAlignment="1">
      <alignment horizontal="center" vertical="center" wrapText="1"/>
    </xf>
    <xf numFmtId="43" fontId="41" fillId="2" borderId="26" xfId="1" applyFont="1" applyFill="1" applyBorder="1" applyAlignment="1">
      <alignment horizontal="center" vertical="distributed" wrapText="1"/>
    </xf>
    <xf numFmtId="172" fontId="41" fillId="2" borderId="26" xfId="1" applyNumberFormat="1" applyFont="1" applyFill="1" applyBorder="1" applyAlignment="1">
      <alignment horizontal="right" vertical="distributed" wrapText="1"/>
    </xf>
    <xf numFmtId="2" fontId="4" fillId="0" borderId="26" xfId="3" applyNumberFormat="1" applyFont="1" applyBorder="1" applyAlignment="1">
      <alignment horizontal="center" vertical="center" wrapText="1"/>
    </xf>
    <xf numFmtId="2" fontId="4" fillId="2" borderId="26" xfId="3" applyNumberFormat="1" applyFont="1" applyFill="1" applyBorder="1" applyAlignment="1">
      <alignment horizontal="center" vertical="center" wrapText="1"/>
    </xf>
    <xf numFmtId="0" fontId="4" fillId="2" borderId="26" xfId="3" applyFont="1" applyFill="1" applyBorder="1" applyAlignment="1">
      <alignment vertical="center" wrapText="1"/>
    </xf>
    <xf numFmtId="0" fontId="4" fillId="2" borderId="26" xfId="3" applyFont="1" applyFill="1" applyBorder="1" applyAlignment="1">
      <alignment horizontal="left" vertical="distributed" wrapText="1"/>
    </xf>
    <xf numFmtId="2" fontId="4" fillId="2" borderId="37" xfId="3" applyNumberFormat="1" applyFont="1" applyFill="1" applyBorder="1" applyAlignment="1">
      <alignment horizontal="center" vertical="distributed" wrapText="1"/>
    </xf>
    <xf numFmtId="2" fontId="4" fillId="0" borderId="38" xfId="3" applyNumberFormat="1" applyFont="1" applyBorder="1" applyAlignment="1">
      <alignment vertical="center" wrapText="1"/>
    </xf>
    <xf numFmtId="2" fontId="4" fillId="0" borderId="39" xfId="3" applyNumberFormat="1" applyFont="1" applyBorder="1" applyAlignment="1">
      <alignment horizontal="center" vertical="center" wrapText="1"/>
    </xf>
    <xf numFmtId="2" fontId="27" fillId="0" borderId="39" xfId="3" applyNumberFormat="1" applyFont="1" applyBorder="1" applyAlignment="1">
      <alignment horizontal="center" vertical="center"/>
    </xf>
    <xf numFmtId="2" fontId="41" fillId="0" borderId="39" xfId="3" applyNumberFormat="1" applyFont="1" applyBorder="1" applyAlignment="1">
      <alignment horizontal="center" vertical="center" wrapText="1"/>
    </xf>
    <xf numFmtId="0" fontId="41" fillId="0" borderId="26" xfId="3" applyFont="1" applyBorder="1" applyAlignment="1">
      <alignment horizontal="center" vertical="center" wrapText="1"/>
    </xf>
    <xf numFmtId="0" fontId="41" fillId="0" borderId="26" xfId="3" applyFont="1" applyBorder="1" applyAlignment="1">
      <alignment horizontal="center" vertical="top" wrapText="1"/>
    </xf>
    <xf numFmtId="165" fontId="41" fillId="0" borderId="26" xfId="3" applyNumberFormat="1" applyFont="1" applyBorder="1" applyAlignment="1">
      <alignment horizontal="right" vertical="center" wrapText="1"/>
    </xf>
    <xf numFmtId="171" fontId="41" fillId="0" borderId="26" xfId="3" applyNumberFormat="1" applyFont="1" applyBorder="1" applyAlignment="1">
      <alignment horizontal="center" vertical="center" wrapText="1"/>
    </xf>
    <xf numFmtId="172" fontId="41" fillId="0" borderId="26" xfId="1" applyNumberFormat="1" applyFont="1" applyFill="1" applyBorder="1" applyAlignment="1">
      <alignment horizontal="right" vertical="distributed" wrapText="1"/>
    </xf>
    <xf numFmtId="43" fontId="41" fillId="0" borderId="26" xfId="1" applyFont="1" applyFill="1" applyBorder="1" applyAlignment="1">
      <alignment horizontal="center" vertical="distributed" wrapText="1"/>
    </xf>
    <xf numFmtId="176" fontId="4" fillId="2" borderId="26" xfId="3" applyNumberFormat="1" applyFont="1" applyFill="1" applyBorder="1" applyAlignment="1">
      <alignment horizontal="center" vertical="center" wrapText="1"/>
    </xf>
    <xf numFmtId="174" fontId="4" fillId="2" borderId="26" xfId="3" applyNumberFormat="1" applyFont="1" applyFill="1" applyBorder="1" applyAlignment="1">
      <alignment horizontal="center" vertical="center" wrapText="1"/>
    </xf>
    <xf numFmtId="2" fontId="35" fillId="0" borderId="39" xfId="3" applyNumberFormat="1" applyFont="1" applyBorder="1" applyAlignment="1">
      <alignment horizontal="center" vertical="center"/>
    </xf>
    <xf numFmtId="2" fontId="72" fillId="0" borderId="26" xfId="3" applyNumberFormat="1" applyFont="1" applyBorder="1" applyAlignment="1">
      <alignment horizontal="center" vertical="center"/>
    </xf>
    <xf numFmtId="165" fontId="41" fillId="2" borderId="26" xfId="3" applyNumberFormat="1" applyFont="1" applyFill="1" applyBorder="1" applyAlignment="1">
      <alignment horizontal="center" vertical="center" wrapText="1"/>
    </xf>
    <xf numFmtId="0" fontId="4" fillId="2" borderId="10" xfId="3" applyFont="1" applyFill="1" applyBorder="1" applyAlignment="1">
      <alignment horizontal="center" vertical="center" wrapText="1"/>
    </xf>
    <xf numFmtId="2" fontId="41" fillId="2" borderId="102" xfId="3" applyNumberFormat="1" applyFont="1" applyFill="1" applyBorder="1" applyAlignment="1">
      <alignment horizontal="center" vertical="center" wrapText="1"/>
    </xf>
    <xf numFmtId="0" fontId="36" fillId="2" borderId="1" xfId="0" applyFont="1" applyFill="1" applyBorder="1" applyAlignment="1">
      <alignment vertical="center" wrapText="1"/>
    </xf>
    <xf numFmtId="1" fontId="3" fillId="0" borderId="21" xfId="3" applyNumberFormat="1" applyFont="1" applyBorder="1" applyAlignment="1">
      <alignment vertical="center" wrapText="1"/>
    </xf>
    <xf numFmtId="0" fontId="53" fillId="0" borderId="11" xfId="3" applyFont="1" applyBorder="1" applyAlignment="1">
      <alignment wrapText="1"/>
    </xf>
    <xf numFmtId="2" fontId="41" fillId="0" borderId="37" xfId="3" applyNumberFormat="1" applyFont="1" applyBorder="1" applyAlignment="1">
      <alignment horizontal="center" vertical="center" wrapText="1"/>
    </xf>
    <xf numFmtId="2" fontId="41" fillId="2" borderId="23" xfId="3" applyNumberFormat="1" applyFont="1" applyFill="1" applyBorder="1" applyAlignment="1">
      <alignment horizontal="center" vertical="distributed" wrapText="1"/>
    </xf>
    <xf numFmtId="2" fontId="41" fillId="2" borderId="84" xfId="3" applyNumberFormat="1" applyFont="1" applyFill="1" applyBorder="1" applyAlignment="1">
      <alignment horizontal="center" vertical="distributed" wrapText="1"/>
    </xf>
    <xf numFmtId="43" fontId="41" fillId="2" borderId="84" xfId="1" applyFont="1" applyFill="1" applyBorder="1" applyAlignment="1">
      <alignment horizontal="center" vertical="center" wrapText="1"/>
    </xf>
    <xf numFmtId="174" fontId="41" fillId="2" borderId="84" xfId="3" applyNumberFormat="1" applyFont="1" applyFill="1" applyBorder="1" applyAlignment="1">
      <alignment horizontal="center" vertical="center" wrapText="1"/>
    </xf>
    <xf numFmtId="0" fontId="41" fillId="2" borderId="84" xfId="3" applyFont="1" applyFill="1" applyBorder="1" applyAlignment="1">
      <alignment horizontal="center" vertical="center" wrapText="1"/>
    </xf>
    <xf numFmtId="43" fontId="41" fillId="2" borderId="84" xfId="1" applyFont="1" applyFill="1" applyBorder="1" applyAlignment="1">
      <alignment horizontal="center" vertical="distributed" wrapText="1"/>
    </xf>
    <xf numFmtId="0" fontId="41" fillId="0" borderId="84" xfId="3" applyFont="1" applyBorder="1" applyAlignment="1">
      <alignment horizontal="left" vertical="distributed" wrapText="1"/>
    </xf>
    <xf numFmtId="2" fontId="41" fillId="2" borderId="85" xfId="3" applyNumberFormat="1" applyFont="1" applyFill="1" applyBorder="1" applyAlignment="1">
      <alignment horizontal="center" vertical="distributed" wrapText="1"/>
    </xf>
    <xf numFmtId="2" fontId="41" fillId="2" borderId="83" xfId="3" applyNumberFormat="1" applyFont="1" applyFill="1" applyBorder="1" applyAlignment="1">
      <alignment horizontal="center" vertical="distributed" wrapText="1"/>
    </xf>
    <xf numFmtId="165" fontId="4" fillId="2" borderId="22" xfId="3" applyNumberFormat="1" applyFont="1" applyFill="1" applyBorder="1" applyAlignment="1">
      <alignment horizontal="right" vertical="center" wrapText="1"/>
    </xf>
    <xf numFmtId="165" fontId="4" fillId="2" borderId="24" xfId="3" applyNumberFormat="1" applyFont="1" applyFill="1" applyBorder="1" applyAlignment="1">
      <alignment horizontal="right" vertical="center" wrapText="1"/>
    </xf>
    <xf numFmtId="172" fontId="4" fillId="2" borderId="24" xfId="1" applyNumberFormat="1" applyFont="1" applyFill="1" applyBorder="1" applyAlignment="1">
      <alignment horizontal="right" vertical="distributed" wrapText="1"/>
    </xf>
    <xf numFmtId="165" fontId="4" fillId="0" borderId="24" xfId="3" applyNumberFormat="1" applyFont="1" applyBorder="1" applyAlignment="1">
      <alignment horizontal="right" vertical="center" wrapText="1"/>
    </xf>
    <xf numFmtId="165" fontId="4" fillId="2" borderId="24" xfId="3" applyNumberFormat="1" applyFont="1" applyFill="1" applyBorder="1" applyAlignment="1">
      <alignment horizontal="center" vertical="center" wrapText="1"/>
    </xf>
    <xf numFmtId="1" fontId="47" fillId="2" borderId="34" xfId="3" applyNumberFormat="1" applyFont="1" applyFill="1" applyBorder="1" applyAlignment="1">
      <alignment horizontal="center" vertical="center" wrapText="1"/>
    </xf>
    <xf numFmtId="1" fontId="41" fillId="2" borderId="34" xfId="3" applyNumberFormat="1" applyFont="1" applyFill="1" applyBorder="1" applyAlignment="1">
      <alignment horizontal="left" vertical="center" wrapText="1"/>
    </xf>
    <xf numFmtId="2" fontId="41" fillId="2" borderId="34" xfId="3" applyNumberFormat="1" applyFont="1" applyFill="1" applyBorder="1" applyAlignment="1">
      <alignment horizontal="center" vertical="center" wrapText="1"/>
    </xf>
    <xf numFmtId="0" fontId="41" fillId="2" borderId="34" xfId="3" applyFont="1" applyFill="1" applyBorder="1" applyAlignment="1">
      <alignment horizontal="center" vertical="center" wrapText="1"/>
    </xf>
    <xf numFmtId="0" fontId="41" fillId="2" borderId="34" xfId="3" applyFont="1" applyFill="1" applyBorder="1" applyAlignment="1">
      <alignment horizontal="center" vertical="top" wrapText="1"/>
    </xf>
    <xf numFmtId="171" fontId="41" fillId="2" borderId="34" xfId="3" applyNumberFormat="1" applyFont="1" applyFill="1" applyBorder="1" applyAlignment="1">
      <alignment horizontal="center" vertical="center" wrapText="1"/>
    </xf>
    <xf numFmtId="165" fontId="41" fillId="2" borderId="6" xfId="3" applyNumberFormat="1" applyFont="1" applyFill="1" applyBorder="1" applyAlignment="1">
      <alignment horizontal="center" vertical="center" wrapText="1"/>
    </xf>
    <xf numFmtId="2" fontId="41" fillId="2" borderId="6" xfId="3" applyNumberFormat="1" applyFont="1" applyFill="1" applyBorder="1" applyAlignment="1">
      <alignment horizontal="center" vertical="distributed" wrapText="1"/>
    </xf>
    <xf numFmtId="2" fontId="41" fillId="2" borderId="19" xfId="3" applyNumberFormat="1" applyFont="1" applyFill="1" applyBorder="1" applyAlignment="1">
      <alignment horizontal="center" vertical="distributed" wrapText="1"/>
    </xf>
    <xf numFmtId="0" fontId="41" fillId="2" borderId="18" xfId="3" applyFont="1" applyFill="1" applyBorder="1" applyAlignment="1">
      <alignment horizontal="center" vertical="distributed" wrapText="1"/>
    </xf>
    <xf numFmtId="0" fontId="41" fillId="2" borderId="18" xfId="3" applyFont="1" applyFill="1" applyBorder="1" applyAlignment="1">
      <alignment horizontal="center" vertical="center" wrapText="1"/>
    </xf>
    <xf numFmtId="0" fontId="4" fillId="2" borderId="7" xfId="3" applyFont="1" applyFill="1" applyBorder="1" applyAlignment="1">
      <alignment horizontal="center" vertical="center" wrapText="1"/>
    </xf>
    <xf numFmtId="2" fontId="41" fillId="0" borderId="32" xfId="3" applyNumberFormat="1" applyFont="1" applyBorder="1" applyAlignment="1">
      <alignment horizontal="center" vertical="distributed" wrapText="1"/>
    </xf>
    <xf numFmtId="2" fontId="41" fillId="0" borderId="40" xfId="3" applyNumberFormat="1" applyFont="1" applyBorder="1" applyAlignment="1">
      <alignment horizontal="center" vertical="distributed" wrapText="1"/>
    </xf>
    <xf numFmtId="2" fontId="41" fillId="0" borderId="30" xfId="3" applyNumberFormat="1" applyFont="1" applyBorder="1" applyAlignment="1">
      <alignment horizontal="center" vertical="distributed" wrapText="1"/>
    </xf>
    <xf numFmtId="43" fontId="41" fillId="0" borderId="33" xfId="1" applyFont="1" applyFill="1" applyBorder="1" applyAlignment="1">
      <alignment horizontal="center" vertical="center" wrapText="1"/>
    </xf>
    <xf numFmtId="174" fontId="41" fillId="0" borderId="33" xfId="3" applyNumberFormat="1" applyFont="1" applyBorder="1" applyAlignment="1">
      <alignment horizontal="center" vertical="center" wrapText="1"/>
    </xf>
    <xf numFmtId="2" fontId="41" fillId="0" borderId="33" xfId="2" applyNumberFormat="1" applyFont="1" applyFill="1" applyBorder="1" applyAlignment="1">
      <alignment horizontal="center" vertical="center" wrapText="1"/>
    </xf>
    <xf numFmtId="182" fontId="41" fillId="0" borderId="33" xfId="3" applyNumberFormat="1" applyFont="1" applyBorder="1" applyAlignment="1">
      <alignment horizontal="center" vertical="center" wrapText="1"/>
    </xf>
    <xf numFmtId="17" fontId="41" fillId="0" borderId="33" xfId="3" applyNumberFormat="1" applyFont="1" applyBorder="1" applyAlignment="1">
      <alignment horizontal="justify" vertical="distributed" wrapText="1"/>
    </xf>
    <xf numFmtId="2" fontId="75" fillId="0" borderId="0" xfId="3" applyNumberFormat="1" applyFont="1"/>
    <xf numFmtId="2" fontId="75" fillId="0" borderId="0" xfId="0" applyNumberFormat="1" applyFont="1" applyAlignment="1">
      <alignment vertical="center"/>
    </xf>
    <xf numFmtId="2" fontId="77" fillId="0" borderId="0" xfId="3" applyNumberFormat="1" applyFont="1" applyAlignment="1">
      <alignment horizontal="center" vertical="center"/>
    </xf>
    <xf numFmtId="2" fontId="76" fillId="0" borderId="0" xfId="3" applyNumberFormat="1" applyFont="1" applyAlignment="1">
      <alignment horizontal="center" vertical="top"/>
    </xf>
    <xf numFmtId="2" fontId="76" fillId="0" borderId="0" xfId="3" applyNumberFormat="1" applyFont="1" applyAlignment="1">
      <alignment horizontal="left" vertical="top"/>
    </xf>
    <xf numFmtId="2" fontId="75" fillId="0" borderId="0" xfId="3" applyNumberFormat="1" applyFont="1" applyAlignment="1">
      <alignment horizontal="left" vertical="top"/>
    </xf>
    <xf numFmtId="2" fontId="75" fillId="0" borderId="2" xfId="3" applyNumberFormat="1" applyFont="1" applyBorder="1" applyAlignment="1">
      <alignment horizontal="center" vertical="center"/>
    </xf>
    <xf numFmtId="2" fontId="76" fillId="0" borderId="4" xfId="3" applyNumberFormat="1" applyFont="1" applyBorder="1" applyAlignment="1">
      <alignment horizontal="center" vertical="center"/>
    </xf>
    <xf numFmtId="2" fontId="76" fillId="0" borderId="2" xfId="3" applyNumberFormat="1" applyFont="1" applyBorder="1" applyAlignment="1">
      <alignment horizontal="center" vertical="center"/>
    </xf>
    <xf numFmtId="2" fontId="76" fillId="0" borderId="20" xfId="3" applyNumberFormat="1" applyFont="1" applyBorder="1" applyAlignment="1">
      <alignment horizontal="center" vertical="center"/>
    </xf>
    <xf numFmtId="2" fontId="76" fillId="0" borderId="17" xfId="3" applyNumberFormat="1" applyFont="1" applyBorder="1" applyAlignment="1">
      <alignment horizontal="center" vertical="center"/>
    </xf>
    <xf numFmtId="2" fontId="38" fillId="0" borderId="35" xfId="7" applyNumberFormat="1" applyFont="1" applyBorder="1" applyAlignment="1">
      <alignment horizontal="center" vertical="center"/>
    </xf>
    <xf numFmtId="2" fontId="4" fillId="0" borderId="32" xfId="3" applyNumberFormat="1" applyFont="1" applyBorder="1" applyAlignment="1">
      <alignment horizontal="center" vertical="distributed" wrapText="1"/>
    </xf>
    <xf numFmtId="0" fontId="4" fillId="0" borderId="40" xfId="3" applyFont="1" applyBorder="1" applyAlignment="1">
      <alignment horizontal="center" vertical="distributed" wrapText="1"/>
    </xf>
    <xf numFmtId="2" fontId="4" fillId="0" borderId="30" xfId="3" applyNumberFormat="1" applyFont="1" applyBorder="1" applyAlignment="1">
      <alignment horizontal="center" vertical="distributed" wrapText="1"/>
    </xf>
    <xf numFmtId="0" fontId="4" fillId="0" borderId="32" xfId="1" applyNumberFormat="1" applyFont="1" applyFill="1" applyBorder="1" applyAlignment="1">
      <alignment horizontal="center" wrapText="1"/>
    </xf>
    <xf numFmtId="4" fontId="4" fillId="0" borderId="33" xfId="3" applyNumberFormat="1" applyFont="1" applyBorder="1" applyAlignment="1">
      <alignment horizontal="center" vertical="center" wrapText="1"/>
    </xf>
    <xf numFmtId="1" fontId="5" fillId="0" borderId="21" xfId="7" applyNumberFormat="1" applyFont="1" applyBorder="1" applyAlignment="1">
      <alignment vertical="center"/>
    </xf>
    <xf numFmtId="1" fontId="2" fillId="0" borderId="16" xfId="5" applyNumberFormat="1" applyFont="1" applyBorder="1" applyAlignment="1">
      <alignment horizontal="center" vertical="top" wrapText="1"/>
    </xf>
    <xf numFmtId="0" fontId="15" fillId="3" borderId="0" xfId="0" applyFont="1" applyFill="1" applyAlignment="1">
      <alignment horizontal="center" vertical="top" wrapText="1"/>
    </xf>
    <xf numFmtId="1" fontId="2" fillId="0" borderId="32" xfId="5" applyNumberFormat="1" applyFont="1" applyBorder="1" applyAlignment="1">
      <alignment horizontal="center" vertical="center" wrapText="1"/>
    </xf>
    <xf numFmtId="1" fontId="2" fillId="0" borderId="40" xfId="5" applyNumberFormat="1" applyFont="1" applyBorder="1" applyAlignment="1">
      <alignment horizontal="left" vertical="center" wrapText="1"/>
    </xf>
    <xf numFmtId="165" fontId="2" fillId="0" borderId="40" xfId="5" applyNumberFormat="1" applyFont="1" applyBorder="1" applyAlignment="1">
      <alignment horizontal="right" vertical="center" wrapText="1"/>
    </xf>
    <xf numFmtId="1" fontId="2" fillId="0" borderId="30" xfId="5" applyNumberFormat="1" applyFont="1" applyBorder="1" applyAlignment="1">
      <alignment horizontal="center" vertical="center" wrapText="1"/>
    </xf>
    <xf numFmtId="165" fontId="2" fillId="0" borderId="40" xfId="5" applyNumberFormat="1" applyFont="1" applyBorder="1" applyAlignment="1">
      <alignment vertical="top" wrapText="1"/>
    </xf>
    <xf numFmtId="1" fontId="2" fillId="0" borderId="30" xfId="5" applyNumberFormat="1" applyFont="1" applyBorder="1" applyAlignment="1">
      <alignment horizontal="center" vertical="top" wrapText="1"/>
    </xf>
    <xf numFmtId="1" fontId="2" fillId="0" borderId="30" xfId="5" applyNumberFormat="1" applyFont="1" applyBorder="1" applyAlignment="1">
      <alignment vertical="top" wrapText="1"/>
    </xf>
    <xf numFmtId="1" fontId="2" fillId="0" borderId="83" xfId="5" applyNumberFormat="1" applyFont="1" applyBorder="1" applyAlignment="1">
      <alignment horizontal="center" vertical="center" wrapText="1"/>
    </xf>
    <xf numFmtId="1" fontId="2" fillId="0" borderId="83" xfId="5" applyNumberFormat="1" applyFont="1" applyBorder="1" applyAlignment="1">
      <alignment vertical="top" wrapText="1"/>
    </xf>
    <xf numFmtId="1" fontId="13" fillId="4" borderId="35" xfId="5" applyNumberFormat="1" applyFont="1" applyFill="1" applyBorder="1" applyAlignment="1">
      <alignment horizontal="center" vertical="center" wrapText="1"/>
    </xf>
    <xf numFmtId="1" fontId="13" fillId="4" borderId="36" xfId="5" applyNumberFormat="1" applyFont="1" applyFill="1" applyBorder="1" applyAlignment="1">
      <alignment horizontal="left" vertical="center" wrapText="1"/>
    </xf>
    <xf numFmtId="165" fontId="13" fillId="4" borderId="36" xfId="5" applyNumberFormat="1" applyFont="1" applyFill="1" applyBorder="1" applyAlignment="1">
      <alignment horizontal="right" vertical="center" wrapText="1"/>
    </xf>
    <xf numFmtId="1" fontId="13" fillId="4" borderId="28" xfId="5" applyNumberFormat="1" applyFont="1" applyFill="1" applyBorder="1" applyAlignment="1">
      <alignment horizontal="center" vertical="center" wrapText="1"/>
    </xf>
    <xf numFmtId="1" fontId="2" fillId="0" borderId="35" xfId="5" applyNumberFormat="1" applyFont="1" applyBorder="1" applyAlignment="1">
      <alignment horizontal="center" vertical="center" wrapText="1"/>
    </xf>
    <xf numFmtId="1" fontId="2" fillId="0" borderId="36" xfId="5" applyNumberFormat="1" applyFont="1" applyBorder="1" applyAlignment="1">
      <alignment horizontal="left" vertical="center" wrapText="1"/>
    </xf>
    <xf numFmtId="165" fontId="2" fillId="0" borderId="36" xfId="5" applyNumberFormat="1" applyFont="1" applyBorder="1" applyAlignment="1">
      <alignment horizontal="right" vertical="center" wrapText="1"/>
    </xf>
    <xf numFmtId="1" fontId="2" fillId="0" borderId="28" xfId="5" applyNumberFormat="1" applyFont="1" applyBorder="1" applyAlignment="1">
      <alignment horizontal="center" vertical="center" wrapText="1"/>
    </xf>
    <xf numFmtId="1" fontId="2" fillId="0" borderId="36" xfId="5" applyNumberFormat="1" applyFont="1" applyBorder="1" applyAlignment="1">
      <alignment vertical="top" wrapText="1"/>
    </xf>
    <xf numFmtId="165" fontId="2" fillId="0" borderId="36" xfId="5" applyNumberFormat="1" applyFont="1" applyBorder="1" applyAlignment="1">
      <alignment vertical="top" wrapText="1"/>
    </xf>
    <xf numFmtId="1" fontId="2" fillId="0" borderId="28" xfId="5" applyNumberFormat="1" applyFont="1" applyBorder="1" applyAlignment="1">
      <alignment horizontal="center" vertical="top" wrapText="1"/>
    </xf>
    <xf numFmtId="1" fontId="2" fillId="0" borderId="85" xfId="5" applyNumberFormat="1" applyFont="1" applyBorder="1" applyAlignment="1">
      <alignment horizontal="center" vertical="center" wrapText="1"/>
    </xf>
    <xf numFmtId="1" fontId="2" fillId="0" borderId="0" xfId="5" applyNumberFormat="1" applyFont="1" applyAlignment="1">
      <alignment vertical="top" wrapText="1"/>
    </xf>
    <xf numFmtId="165" fontId="2" fillId="0" borderId="0" xfId="5" applyNumberFormat="1" applyFont="1" applyAlignment="1">
      <alignment vertical="top" wrapText="1"/>
    </xf>
    <xf numFmtId="1" fontId="2" fillId="0" borderId="28" xfId="5" applyNumberFormat="1" applyFont="1" applyBorder="1" applyAlignment="1">
      <alignment vertical="top" wrapText="1"/>
    </xf>
    <xf numFmtId="1" fontId="13" fillId="4" borderId="36" xfId="5" applyNumberFormat="1" applyFont="1" applyFill="1" applyBorder="1" applyAlignment="1">
      <alignment vertical="top" wrapText="1"/>
    </xf>
    <xf numFmtId="1" fontId="2" fillId="4" borderId="36" xfId="5" applyNumberFormat="1" applyFont="1" applyFill="1" applyBorder="1" applyAlignment="1">
      <alignment vertical="top" wrapText="1"/>
    </xf>
    <xf numFmtId="1" fontId="2" fillId="4" borderId="28" xfId="5" applyNumberFormat="1" applyFont="1" applyFill="1" applyBorder="1" applyAlignment="1">
      <alignment vertical="top" wrapText="1"/>
    </xf>
    <xf numFmtId="1" fontId="2" fillId="0" borderId="83" xfId="5" applyNumberFormat="1" applyFont="1" applyBorder="1" applyAlignment="1">
      <alignment horizontal="center" vertical="top" wrapText="1"/>
    </xf>
    <xf numFmtId="0" fontId="3" fillId="2" borderId="0" xfId="4" applyFont="1" applyFill="1" applyAlignment="1">
      <alignment horizontal="center" vertical="center" wrapText="1"/>
    </xf>
    <xf numFmtId="0" fontId="4" fillId="2" borderId="0" xfId="3" applyFont="1" applyFill="1" applyAlignment="1">
      <alignment wrapText="1"/>
    </xf>
    <xf numFmtId="0" fontId="8" fillId="3" borderId="0" xfId="3" applyFont="1" applyFill="1" applyAlignment="1">
      <alignment vertical="center" wrapText="1"/>
    </xf>
    <xf numFmtId="49" fontId="8" fillId="3" borderId="0" xfId="3" applyNumberFormat="1" applyFont="1" applyFill="1" applyAlignment="1">
      <alignment horizontal="left" vertical="center" wrapText="1"/>
    </xf>
    <xf numFmtId="14" fontId="8" fillId="3" borderId="0" xfId="3" applyNumberFormat="1" applyFont="1" applyFill="1" applyAlignment="1">
      <alignment horizontal="left" vertical="center" wrapText="1"/>
    </xf>
    <xf numFmtId="0" fontId="10" fillId="2" borderId="0" xfId="3" applyFont="1" applyFill="1" applyAlignment="1">
      <alignment horizontal="center" vertical="center" wrapText="1"/>
    </xf>
    <xf numFmtId="0" fontId="17" fillId="2" borderId="0" xfId="3" applyFont="1" applyFill="1" applyAlignment="1" applyProtection="1">
      <alignment horizontal="center" vertical="center" wrapText="1"/>
      <protection locked="0"/>
    </xf>
    <xf numFmtId="0" fontId="3" fillId="2" borderId="85" xfId="3" applyFont="1" applyFill="1" applyBorder="1" applyAlignment="1">
      <alignment horizontal="center" vertical="center" wrapText="1"/>
    </xf>
    <xf numFmtId="0" fontId="4" fillId="2" borderId="83" xfId="3" applyFont="1" applyFill="1" applyBorder="1" applyAlignment="1">
      <alignment horizontal="center" wrapText="1"/>
    </xf>
    <xf numFmtId="0" fontId="6" fillId="3" borderId="85" xfId="3" applyFont="1" applyFill="1" applyBorder="1" applyAlignment="1">
      <alignment horizontal="left" vertical="center" wrapText="1"/>
    </xf>
    <xf numFmtId="0" fontId="8" fillId="3" borderId="83" xfId="3" applyFont="1" applyFill="1" applyBorder="1" applyAlignment="1">
      <alignment horizontal="center" vertical="center" wrapText="1"/>
    </xf>
    <xf numFmtId="0" fontId="6" fillId="3" borderId="85" xfId="3" applyFont="1" applyFill="1" applyBorder="1" applyAlignment="1">
      <alignment vertical="center" wrapText="1"/>
    </xf>
    <xf numFmtId="0" fontId="4" fillId="3" borderId="83" xfId="3" applyFont="1" applyFill="1" applyBorder="1" applyAlignment="1">
      <alignment horizontal="center" wrapText="1"/>
    </xf>
    <xf numFmtId="1" fontId="13" fillId="4" borderId="8" xfId="5" applyNumberFormat="1" applyFont="1" applyFill="1" applyBorder="1" applyAlignment="1">
      <alignment horizontal="center" vertical="center" wrapText="1"/>
    </xf>
    <xf numFmtId="1" fontId="13" fillId="4" borderId="9" xfId="5" applyNumberFormat="1" applyFont="1" applyFill="1" applyBorder="1" applyAlignment="1">
      <alignment horizontal="left" vertical="center" wrapText="1"/>
    </xf>
    <xf numFmtId="165" fontId="13" fillId="4" borderId="9" xfId="5" applyNumberFormat="1" applyFont="1" applyFill="1" applyBorder="1" applyAlignment="1">
      <alignment horizontal="right" vertical="center" wrapText="1"/>
    </xf>
    <xf numFmtId="1" fontId="13" fillId="4" borderId="10" xfId="5" applyNumberFormat="1" applyFont="1" applyFill="1" applyBorder="1" applyAlignment="1">
      <alignment horizontal="center" vertical="center" wrapText="1"/>
    </xf>
    <xf numFmtId="2" fontId="12" fillId="4" borderId="8" xfId="0" applyNumberFormat="1" applyFont="1" applyFill="1" applyBorder="1" applyAlignment="1">
      <alignment horizontal="center" vertical="center" wrapText="1"/>
    </xf>
    <xf numFmtId="1" fontId="13" fillId="4" borderId="9" xfId="5" applyNumberFormat="1" applyFont="1" applyFill="1" applyBorder="1" applyAlignment="1">
      <alignment vertical="top" wrapText="1"/>
    </xf>
    <xf numFmtId="1" fontId="13" fillId="4" borderId="10" xfId="5" applyNumberFormat="1" applyFont="1" applyFill="1" applyBorder="1" applyAlignment="1">
      <alignment vertical="top" wrapText="1"/>
    </xf>
    <xf numFmtId="1" fontId="2" fillId="0" borderId="8" xfId="5" applyNumberFormat="1" applyFont="1" applyBorder="1" applyAlignment="1">
      <alignment horizontal="center" vertical="center" wrapText="1"/>
    </xf>
    <xf numFmtId="1" fontId="2" fillId="0" borderId="9" xfId="5" applyNumberFormat="1" applyFont="1" applyBorder="1" applyAlignment="1">
      <alignment vertical="top" wrapText="1"/>
    </xf>
    <xf numFmtId="165" fontId="2" fillId="0" borderId="9" xfId="5" applyNumberFormat="1" applyFont="1" applyBorder="1" applyAlignment="1">
      <alignment vertical="top" wrapText="1"/>
    </xf>
    <xf numFmtId="1" fontId="2" fillId="0" borderId="10" xfId="5" applyNumberFormat="1" applyFont="1" applyBorder="1" applyAlignment="1">
      <alignment horizontal="center" vertical="top" wrapText="1"/>
    </xf>
    <xf numFmtId="2" fontId="12" fillId="4" borderId="11" xfId="0" applyNumberFormat="1" applyFont="1" applyFill="1" applyBorder="1" applyAlignment="1">
      <alignment horizontal="center" wrapText="1"/>
    </xf>
    <xf numFmtId="1" fontId="13" fillId="4" borderId="12" xfId="5" applyNumberFormat="1" applyFont="1" applyFill="1" applyBorder="1" applyAlignment="1">
      <alignment vertical="top" wrapText="1"/>
    </xf>
    <xf numFmtId="1" fontId="13" fillId="4" borderId="13" xfId="5" applyNumberFormat="1" applyFont="1" applyFill="1" applyBorder="1" applyAlignment="1">
      <alignment vertical="top" wrapText="1"/>
    </xf>
    <xf numFmtId="2" fontId="12" fillId="4" borderId="85" xfId="0" applyNumberFormat="1" applyFont="1" applyFill="1" applyBorder="1" applyAlignment="1">
      <alignment horizontal="center" wrapText="1"/>
    </xf>
    <xf numFmtId="1" fontId="2" fillId="0" borderId="37" xfId="5" applyNumberFormat="1" applyFont="1" applyBorder="1" applyAlignment="1">
      <alignment horizontal="center" vertical="center" wrapText="1"/>
    </xf>
    <xf numFmtId="1" fontId="2" fillId="0" borderId="38" xfId="5" applyNumberFormat="1" applyFont="1" applyBorder="1" applyAlignment="1">
      <alignment vertical="top" wrapText="1"/>
    </xf>
    <xf numFmtId="165" fontId="2" fillId="0" borderId="38" xfId="5" applyNumberFormat="1" applyFont="1" applyBorder="1" applyAlignment="1">
      <alignment vertical="top" wrapText="1"/>
    </xf>
    <xf numFmtId="1" fontId="2" fillId="0" borderId="39" xfId="5" applyNumberFormat="1" applyFont="1" applyBorder="1" applyAlignment="1">
      <alignment horizontal="center" vertical="top" wrapText="1"/>
    </xf>
    <xf numFmtId="1" fontId="2" fillId="0" borderId="10" xfId="5" applyNumberFormat="1" applyFont="1" applyBorder="1" applyAlignment="1">
      <alignment vertical="top" wrapText="1"/>
    </xf>
    <xf numFmtId="1" fontId="2" fillId="0" borderId="11" xfId="5" applyNumberFormat="1" applyFont="1" applyBorder="1" applyAlignment="1">
      <alignment horizontal="center" vertical="center" wrapText="1"/>
    </xf>
    <xf numFmtId="1" fontId="2" fillId="0" borderId="12" xfId="5" applyNumberFormat="1" applyFont="1" applyBorder="1" applyAlignment="1">
      <alignment vertical="top" wrapText="1"/>
    </xf>
    <xf numFmtId="165" fontId="2" fillId="0" borderId="12" xfId="5" applyNumberFormat="1" applyFont="1" applyBorder="1" applyAlignment="1">
      <alignment vertical="top" wrapText="1"/>
    </xf>
    <xf numFmtId="1" fontId="2" fillId="0" borderId="13" xfId="5" applyNumberFormat="1" applyFont="1" applyBorder="1" applyAlignment="1">
      <alignment vertical="top" wrapText="1"/>
    </xf>
    <xf numFmtId="1" fontId="2" fillId="0" borderId="39" xfId="5" applyNumberFormat="1" applyFont="1" applyBorder="1" applyAlignment="1">
      <alignment vertical="top" wrapText="1"/>
    </xf>
    <xf numFmtId="2" fontId="12" fillId="4" borderId="1" xfId="0" applyNumberFormat="1" applyFont="1" applyFill="1" applyBorder="1" applyAlignment="1">
      <alignment horizontal="center" wrapText="1"/>
    </xf>
    <xf numFmtId="2" fontId="12" fillId="4" borderId="8" xfId="0" applyNumberFormat="1" applyFont="1" applyFill="1" applyBorder="1" applyAlignment="1">
      <alignment horizontal="center" wrapText="1"/>
    </xf>
    <xf numFmtId="1" fontId="2" fillId="0" borderId="13" xfId="5" applyNumberFormat="1" applyFont="1" applyBorder="1" applyAlignment="1">
      <alignment horizontal="center" vertical="top" wrapText="1"/>
    </xf>
    <xf numFmtId="2" fontId="15" fillId="4" borderId="6" xfId="0" applyNumberFormat="1" applyFont="1" applyFill="1" applyBorder="1" applyAlignment="1">
      <alignment horizontal="center" wrapText="1"/>
    </xf>
    <xf numFmtId="1" fontId="13" fillId="4" borderId="38" xfId="5" applyNumberFormat="1" applyFont="1" applyFill="1" applyBorder="1" applyAlignment="1">
      <alignment vertical="top" wrapText="1"/>
    </xf>
    <xf numFmtId="1" fontId="13" fillId="4" borderId="39" xfId="5" applyNumberFormat="1" applyFont="1" applyFill="1" applyBorder="1" applyAlignment="1">
      <alignment vertical="top" wrapText="1"/>
    </xf>
    <xf numFmtId="2" fontId="12" fillId="4" borderId="37" xfId="0" applyNumberFormat="1" applyFont="1" applyFill="1" applyBorder="1" applyAlignment="1">
      <alignment horizontal="center" wrapText="1"/>
    </xf>
    <xf numFmtId="2" fontId="84" fillId="4" borderId="8" xfId="0" applyNumberFormat="1" applyFont="1" applyFill="1" applyBorder="1" applyAlignment="1">
      <alignment horizontal="center" vertical="center" wrapText="1"/>
    </xf>
    <xf numFmtId="1" fontId="13" fillId="4" borderId="8" xfId="5" applyNumberFormat="1" applyFont="1" applyFill="1" applyBorder="1" applyAlignment="1">
      <alignment vertical="top" wrapText="1"/>
    </xf>
    <xf numFmtId="1" fontId="2" fillId="0" borderId="3" xfId="5" applyNumberFormat="1" applyFont="1" applyBorder="1" applyAlignment="1">
      <alignment horizontal="center" vertical="top" wrapText="1"/>
    </xf>
    <xf numFmtId="0" fontId="15" fillId="3" borderId="1" xfId="0" applyFont="1" applyFill="1" applyBorder="1" applyAlignment="1">
      <alignment horizontal="center" wrapText="1"/>
    </xf>
    <xf numFmtId="0" fontId="17" fillId="2" borderId="2" xfId="3" applyFont="1" applyFill="1" applyBorder="1" applyAlignment="1" applyProtection="1">
      <alignment horizontal="center" wrapText="1"/>
      <protection locked="0"/>
    </xf>
    <xf numFmtId="0" fontId="15" fillId="3" borderId="2" xfId="0" applyFont="1" applyFill="1" applyBorder="1" applyAlignment="1">
      <alignment horizontal="center" wrapText="1"/>
    </xf>
    <xf numFmtId="0" fontId="15" fillId="3" borderId="3" xfId="0" applyFont="1" applyFill="1" applyBorder="1" applyAlignment="1">
      <alignment horizontal="center" wrapText="1"/>
    </xf>
    <xf numFmtId="0" fontId="15" fillId="3" borderId="85" xfId="0" applyFont="1" applyFill="1" applyBorder="1" applyAlignment="1">
      <alignment horizontal="center" wrapText="1"/>
    </xf>
    <xf numFmtId="0" fontId="15" fillId="3" borderId="83" xfId="0" applyFont="1" applyFill="1" applyBorder="1" applyAlignment="1">
      <alignment horizontal="center" wrapText="1"/>
    </xf>
    <xf numFmtId="0" fontId="15" fillId="3" borderId="6" xfId="0" applyFont="1" applyFill="1" applyBorder="1" applyAlignment="1">
      <alignment horizontal="center" wrapText="1"/>
    </xf>
    <xf numFmtId="0" fontId="17" fillId="2" borderId="18" xfId="3" applyFont="1" applyFill="1" applyBorder="1" applyAlignment="1" applyProtection="1">
      <alignment horizontal="center" vertical="center" wrapText="1"/>
      <protection locked="0"/>
    </xf>
    <xf numFmtId="0" fontId="15" fillId="3" borderId="18" xfId="0" applyFont="1" applyFill="1" applyBorder="1" applyAlignment="1">
      <alignment horizontal="center" wrapText="1"/>
    </xf>
    <xf numFmtId="0" fontId="15" fillId="3" borderId="19" xfId="0" applyFont="1" applyFill="1" applyBorder="1" applyAlignment="1">
      <alignment horizontal="center" wrapText="1"/>
    </xf>
    <xf numFmtId="0" fontId="22" fillId="2" borderId="31" xfId="3" applyFont="1" applyFill="1" applyBorder="1" applyAlignment="1">
      <alignment vertical="center" wrapText="1"/>
    </xf>
    <xf numFmtId="0" fontId="21" fillId="2" borderId="31" xfId="4" applyFont="1" applyFill="1" applyBorder="1" applyAlignment="1">
      <alignment vertical="center"/>
    </xf>
    <xf numFmtId="0" fontId="21" fillId="2" borderId="31" xfId="4" applyFont="1" applyFill="1" applyBorder="1" applyAlignment="1">
      <alignment horizontal="right" vertical="center"/>
    </xf>
    <xf numFmtId="4" fontId="22" fillId="2" borderId="31" xfId="4" applyNumberFormat="1" applyFont="1" applyFill="1" applyBorder="1" applyAlignment="1">
      <alignment horizontal="left" vertical="center"/>
    </xf>
    <xf numFmtId="43" fontId="2" fillId="2" borderId="31" xfId="1" applyFont="1" applyFill="1" applyBorder="1"/>
    <xf numFmtId="0" fontId="22" fillId="2" borderId="84" xfId="3" applyFont="1" applyFill="1" applyBorder="1" applyAlignment="1">
      <alignment vertical="center"/>
    </xf>
    <xf numFmtId="0" fontId="21" fillId="2" borderId="84" xfId="4" applyFont="1" applyFill="1" applyBorder="1" applyAlignment="1">
      <alignment vertical="center"/>
    </xf>
    <xf numFmtId="166" fontId="23" fillId="2" borderId="84" xfId="3" applyNumberFormat="1" applyFont="1" applyFill="1" applyBorder="1" applyAlignment="1">
      <alignment horizontal="left" vertical="center"/>
    </xf>
    <xf numFmtId="0" fontId="23" fillId="2" borderId="84" xfId="3" applyFont="1" applyFill="1" applyBorder="1" applyAlignment="1">
      <alignment vertical="center"/>
    </xf>
    <xf numFmtId="0" fontId="2" fillId="2" borderId="34" xfId="3" applyFill="1" applyBorder="1" applyAlignment="1">
      <alignment horizontal="center" vertical="center"/>
    </xf>
    <xf numFmtId="0" fontId="13" fillId="2" borderId="34" xfId="4" applyFont="1" applyFill="1" applyBorder="1" applyAlignment="1">
      <alignment vertical="center"/>
    </xf>
    <xf numFmtId="2" fontId="16" fillId="4" borderId="7" xfId="7" applyNumberFormat="1" applyFont="1" applyFill="1" applyBorder="1" applyAlignment="1">
      <alignment horizontal="center" vertical="center"/>
    </xf>
    <xf numFmtId="0" fontId="16" fillId="4" borderId="7" xfId="7" applyFont="1" applyFill="1" applyBorder="1" applyAlignment="1">
      <alignment vertical="center"/>
    </xf>
    <xf numFmtId="4" fontId="16" fillId="4" borderId="7" xfId="7" applyNumberFormat="1" applyFont="1" applyFill="1" applyBorder="1" applyAlignment="1">
      <alignment horizontal="right" vertical="center"/>
    </xf>
    <xf numFmtId="43" fontId="16" fillId="4" borderId="7" xfId="1" applyFont="1" applyFill="1" applyBorder="1" applyAlignment="1">
      <alignment vertical="center"/>
    </xf>
    <xf numFmtId="2" fontId="16" fillId="5" borderId="7" xfId="7" applyNumberFormat="1" applyFont="1" applyFill="1" applyBorder="1" applyAlignment="1">
      <alignment horizontal="center" vertical="center"/>
    </xf>
    <xf numFmtId="0" fontId="26" fillId="5" borderId="7" xfId="0" applyFont="1" applyFill="1" applyBorder="1" applyAlignment="1">
      <alignment horizontal="left" vertical="center"/>
    </xf>
    <xf numFmtId="0" fontId="16" fillId="5" borderId="31" xfId="7" applyFont="1" applyFill="1" applyBorder="1" applyAlignment="1">
      <alignment vertical="center"/>
    </xf>
    <xf numFmtId="4" fontId="16" fillId="5" borderId="31" xfId="7" applyNumberFormat="1" applyFont="1" applyFill="1" applyBorder="1" applyAlignment="1">
      <alignment horizontal="right" vertical="center"/>
    </xf>
    <xf numFmtId="43" fontId="16" fillId="5" borderId="7" xfId="1" applyFont="1" applyFill="1" applyBorder="1" applyAlignment="1">
      <alignment vertical="center"/>
    </xf>
    <xf numFmtId="43" fontId="16" fillId="5" borderId="31" xfId="1" applyFont="1" applyFill="1" applyBorder="1" applyAlignment="1">
      <alignment vertical="center"/>
    </xf>
    <xf numFmtId="168" fontId="2" fillId="0" borderId="21" xfId="8" applyFill="1" applyBorder="1" applyAlignment="1">
      <alignment horizontal="center" vertical="center" wrapText="1"/>
    </xf>
    <xf numFmtId="169" fontId="2" fillId="0" borderId="21" xfId="8" applyNumberFormat="1" applyFill="1" applyBorder="1" applyAlignment="1">
      <alignment horizontal="center" vertical="center" wrapText="1"/>
    </xf>
    <xf numFmtId="43" fontId="2" fillId="0" borderId="21" xfId="1" applyFont="1" applyFill="1" applyBorder="1" applyAlignment="1">
      <alignment horizontal="center" vertical="center" wrapText="1"/>
    </xf>
    <xf numFmtId="168" fontId="2" fillId="0" borderId="20" xfId="8" applyFill="1" applyBorder="1" applyAlignment="1">
      <alignment horizontal="center" vertical="center" wrapText="1"/>
    </xf>
    <xf numFmtId="169" fontId="2" fillId="0" borderId="21" xfId="8" applyNumberFormat="1" applyBorder="1" applyAlignment="1">
      <alignment horizontal="center" vertical="center" wrapText="1"/>
    </xf>
    <xf numFmtId="169" fontId="2" fillId="0" borderId="23" xfId="8" applyNumberFormat="1" applyBorder="1" applyAlignment="1">
      <alignment horizontal="center" vertical="center" wrapText="1"/>
    </xf>
    <xf numFmtId="169" fontId="2" fillId="0" borderId="26" xfId="8" applyNumberFormat="1" applyFill="1" applyBorder="1" applyAlignment="1">
      <alignment horizontal="center" vertical="center" wrapText="1"/>
    </xf>
    <xf numFmtId="169" fontId="2" fillId="0" borderId="26" xfId="8" applyNumberFormat="1" applyBorder="1" applyAlignment="1">
      <alignment horizontal="center" vertical="center" wrapText="1"/>
    </xf>
    <xf numFmtId="0" fontId="16" fillId="5" borderId="7" xfId="7" applyFont="1" applyFill="1" applyBorder="1" applyAlignment="1">
      <alignment vertical="center"/>
    </xf>
    <xf numFmtId="4" fontId="16" fillId="5" borderId="7" xfId="7" applyNumberFormat="1" applyFont="1" applyFill="1" applyBorder="1" applyAlignment="1">
      <alignment horizontal="right" vertical="center"/>
    </xf>
    <xf numFmtId="43" fontId="2" fillId="0" borderId="21" xfId="1" applyFont="1" applyBorder="1" applyAlignment="1">
      <alignment horizontal="center" vertical="center" wrapText="1"/>
    </xf>
    <xf numFmtId="0" fontId="29" fillId="5" borderId="7" xfId="10" applyFont="1" applyFill="1" applyBorder="1" applyAlignment="1">
      <alignment vertical="center" wrapText="1"/>
    </xf>
    <xf numFmtId="43" fontId="29" fillId="5" borderId="7" xfId="1" applyFont="1" applyFill="1" applyBorder="1" applyAlignment="1">
      <alignment horizontal="right" vertical="center" wrapText="1"/>
    </xf>
    <xf numFmtId="0" fontId="30" fillId="0" borderId="104" xfId="0" applyFont="1" applyBorder="1" applyAlignment="1">
      <alignment horizontal="center" vertical="center" wrapText="1"/>
    </xf>
    <xf numFmtId="0" fontId="30" fillId="0" borderId="33" xfId="7" applyFont="1" applyBorder="1" applyAlignment="1">
      <alignment horizontal="justify" vertical="center" wrapText="1"/>
    </xf>
    <xf numFmtId="169" fontId="2" fillId="0" borderId="33" xfId="8" applyNumberFormat="1" applyFill="1" applyBorder="1" applyAlignment="1">
      <alignment horizontal="center" vertical="center" wrapText="1"/>
    </xf>
    <xf numFmtId="0" fontId="30" fillId="0" borderId="105" xfId="0" applyFont="1" applyBorder="1" applyAlignment="1">
      <alignment horizontal="center" vertical="center" wrapText="1"/>
    </xf>
    <xf numFmtId="0" fontId="30" fillId="0" borderId="84" xfId="0" applyFont="1" applyBorder="1" applyAlignment="1">
      <alignment horizontal="center" vertical="center" wrapText="1"/>
    </xf>
    <xf numFmtId="0" fontId="5" fillId="0" borderId="33" xfId="7" applyFont="1" applyBorder="1" applyAlignment="1">
      <alignment horizontal="justify" vertical="top" wrapText="1"/>
    </xf>
    <xf numFmtId="181" fontId="2" fillId="0" borderId="26" xfId="8" applyNumberFormat="1" applyFill="1" applyBorder="1" applyAlignment="1">
      <alignment horizontal="center" vertical="center" wrapText="1"/>
    </xf>
    <xf numFmtId="43" fontId="16" fillId="5" borderId="7" xfId="7" applyNumberFormat="1" applyFont="1" applyFill="1" applyBorder="1" applyAlignment="1">
      <alignment vertical="center"/>
    </xf>
    <xf numFmtId="43" fontId="2" fillId="0" borderId="7" xfId="8" applyNumberFormat="1" applyFill="1" applyBorder="1" applyAlignment="1">
      <alignment horizontal="center" vertical="center" wrapText="1"/>
    </xf>
    <xf numFmtId="43" fontId="2" fillId="0" borderId="7" xfId="1" applyFont="1" applyFill="1" applyBorder="1" applyAlignment="1">
      <alignment horizontal="center" vertical="center" wrapText="1"/>
    </xf>
    <xf numFmtId="43" fontId="2" fillId="0" borderId="23" xfId="8" applyNumberFormat="1" applyFill="1" applyBorder="1" applyAlignment="1">
      <alignment horizontal="center" vertical="center" wrapText="1"/>
    </xf>
    <xf numFmtId="169" fontId="2" fillId="0" borderId="7" xfId="8" applyNumberFormat="1" applyBorder="1" applyAlignment="1">
      <alignment horizontal="center" vertical="center" wrapText="1"/>
    </xf>
    <xf numFmtId="0" fontId="26" fillId="5" borderId="31" xfId="0" applyFont="1" applyFill="1" applyBorder="1" applyAlignment="1">
      <alignment horizontal="left" vertical="center"/>
    </xf>
    <xf numFmtId="169" fontId="2" fillId="0" borderId="31" xfId="8" applyNumberFormat="1" applyFill="1" applyBorder="1" applyAlignment="1">
      <alignment horizontal="center" vertical="center" wrapText="1"/>
    </xf>
    <xf numFmtId="168" fontId="2" fillId="0" borderId="31" xfId="8" applyFill="1" applyBorder="1" applyAlignment="1">
      <alignment horizontal="center" vertical="center" wrapText="1"/>
    </xf>
    <xf numFmtId="43" fontId="2" fillId="0" borderId="31" xfId="1" applyFont="1" applyFill="1" applyBorder="1" applyAlignment="1">
      <alignment horizontal="center" vertical="center" wrapText="1"/>
    </xf>
    <xf numFmtId="0" fontId="5" fillId="0" borderId="105" xfId="7" applyFont="1" applyBorder="1" applyAlignment="1">
      <alignment horizontal="justify" vertical="center" wrapText="1"/>
    </xf>
    <xf numFmtId="0" fontId="2" fillId="0" borderId="105" xfId="10" applyFont="1" applyBorder="1" applyAlignment="1">
      <alignment horizontal="center" vertical="center"/>
    </xf>
    <xf numFmtId="168" fontId="2" fillId="0" borderId="105" xfId="8" applyFill="1" applyBorder="1" applyAlignment="1">
      <alignment horizontal="center" vertical="center" wrapText="1"/>
    </xf>
    <xf numFmtId="4" fontId="2" fillId="0" borderId="105" xfId="8" applyNumberFormat="1" applyFill="1" applyBorder="1" applyAlignment="1">
      <alignment horizontal="right" vertical="center" wrapText="1"/>
    </xf>
    <xf numFmtId="2" fontId="18" fillId="0" borderId="105" xfId="0" applyNumberFormat="1" applyFont="1" applyBorder="1" applyAlignment="1">
      <alignment horizontal="center" vertical="center"/>
    </xf>
    <xf numFmtId="2" fontId="18" fillId="0" borderId="84" xfId="0" applyNumberFormat="1" applyFont="1" applyBorder="1" applyAlignment="1">
      <alignment horizontal="center" vertical="center"/>
    </xf>
    <xf numFmtId="0" fontId="30" fillId="0" borderId="106" xfId="0" applyFont="1" applyBorder="1" applyAlignment="1">
      <alignment horizontal="center" vertical="center" wrapText="1"/>
    </xf>
    <xf numFmtId="0" fontId="5" fillId="0" borderId="107" xfId="7" applyFont="1" applyBorder="1" applyAlignment="1">
      <alignment horizontal="justify" vertical="center" wrapText="1"/>
    </xf>
    <xf numFmtId="0" fontId="2" fillId="0" borderId="107" xfId="10" applyFont="1" applyBorder="1" applyAlignment="1">
      <alignment horizontal="center" vertical="center"/>
    </xf>
    <xf numFmtId="168" fontId="2" fillId="0" borderId="107" xfId="8" applyFill="1" applyBorder="1" applyAlignment="1">
      <alignment horizontal="center" vertical="center" wrapText="1"/>
    </xf>
    <xf numFmtId="4" fontId="2" fillId="0" borderId="84" xfId="8" applyNumberFormat="1" applyFill="1" applyBorder="1" applyAlignment="1">
      <alignment horizontal="right" vertical="center" wrapText="1"/>
    </xf>
    <xf numFmtId="169" fontId="74" fillId="0" borderId="23" xfId="8" applyNumberFormat="1" applyFont="1" applyFill="1" applyBorder="1" applyAlignment="1">
      <alignment horizontal="center" vertical="center" wrapText="1"/>
    </xf>
    <xf numFmtId="0" fontId="13" fillId="5" borderId="7" xfId="7" applyFont="1" applyFill="1" applyBorder="1" applyAlignment="1">
      <alignment horizontal="justify" vertical="center" wrapText="1"/>
    </xf>
    <xf numFmtId="44" fontId="16" fillId="5" borderId="7" xfId="16" applyFont="1" applyFill="1" applyBorder="1" applyAlignment="1">
      <alignment vertical="center"/>
    </xf>
    <xf numFmtId="0" fontId="16" fillId="4" borderId="31" xfId="0" applyFont="1" applyFill="1" applyBorder="1" applyAlignment="1">
      <alignment horizontal="center" vertical="center"/>
    </xf>
    <xf numFmtId="0" fontId="26" fillId="4" borderId="31" xfId="0" applyFont="1" applyFill="1" applyBorder="1" applyAlignment="1">
      <alignment horizontal="left" vertical="center"/>
    </xf>
    <xf numFmtId="0" fontId="16" fillId="4" borderId="31" xfId="7" applyFont="1" applyFill="1" applyBorder="1" applyAlignment="1">
      <alignment vertical="center"/>
    </xf>
    <xf numFmtId="4" fontId="16" fillId="4" borderId="31" xfId="7" applyNumberFormat="1" applyFont="1" applyFill="1" applyBorder="1" applyAlignment="1">
      <alignment horizontal="right" vertical="center"/>
    </xf>
    <xf numFmtId="43" fontId="16" fillId="4" borderId="31" xfId="1" applyFont="1" applyFill="1" applyBorder="1" applyAlignment="1">
      <alignment vertical="center"/>
    </xf>
    <xf numFmtId="0" fontId="16" fillId="5" borderId="7" xfId="0" applyFont="1" applyFill="1" applyBorder="1" applyAlignment="1">
      <alignment horizontal="center" vertical="center"/>
    </xf>
    <xf numFmtId="0" fontId="18" fillId="0" borderId="84" xfId="9" applyFont="1" applyBorder="1" applyAlignment="1">
      <alignment horizontal="center" vertical="center"/>
    </xf>
    <xf numFmtId="0" fontId="5" fillId="0" borderId="84" xfId="7" applyFont="1" applyBorder="1" applyAlignment="1">
      <alignment horizontal="justify" vertical="center" wrapText="1"/>
    </xf>
    <xf numFmtId="0" fontId="2" fillId="0" borderId="84" xfId="10" applyFont="1" applyBorder="1" applyAlignment="1">
      <alignment horizontal="center" vertical="center"/>
    </xf>
    <xf numFmtId="168" fontId="2" fillId="0" borderId="20" xfId="8" applyFont="1" applyFill="1" applyBorder="1" applyAlignment="1">
      <alignment horizontal="center" vertical="center" wrapText="1"/>
    </xf>
    <xf numFmtId="43" fontId="9" fillId="0" borderId="23" xfId="1" applyFont="1" applyFill="1" applyBorder="1" applyAlignment="1">
      <alignment horizontal="center" vertical="center" wrapText="1"/>
    </xf>
    <xf numFmtId="0" fontId="0" fillId="0" borderId="23" xfId="0" applyBorder="1"/>
    <xf numFmtId="1" fontId="18" fillId="0" borderId="84" xfId="9" applyNumberFormat="1" applyFont="1" applyBorder="1" applyAlignment="1">
      <alignment horizontal="center" vertical="center"/>
    </xf>
    <xf numFmtId="0" fontId="5" fillId="0" borderId="84" xfId="7" applyFont="1" applyBorder="1" applyAlignment="1">
      <alignment horizontal="justify" vertical="top" wrapText="1"/>
    </xf>
    <xf numFmtId="43" fontId="2" fillId="0" borderId="84" xfId="1" applyFont="1" applyFill="1" applyBorder="1" applyAlignment="1">
      <alignment horizontal="center" vertical="center" wrapText="1"/>
    </xf>
    <xf numFmtId="169" fontId="2" fillId="0" borderId="20" xfId="8" applyNumberFormat="1" applyBorder="1" applyAlignment="1">
      <alignment horizontal="center" vertical="center" wrapText="1"/>
    </xf>
    <xf numFmtId="43" fontId="2" fillId="0" borderId="20" xfId="1" applyFont="1" applyBorder="1" applyAlignment="1">
      <alignment horizontal="center" vertical="center" wrapText="1"/>
    </xf>
    <xf numFmtId="168" fontId="2" fillId="0" borderId="20" xfId="8" applyBorder="1" applyAlignment="1">
      <alignment horizontal="center" vertical="center" wrapText="1"/>
    </xf>
    <xf numFmtId="169" fontId="2" fillId="0" borderId="33" xfId="8" applyNumberFormat="1" applyBorder="1" applyAlignment="1">
      <alignment horizontal="center" vertical="center" wrapText="1"/>
    </xf>
    <xf numFmtId="43" fontId="2" fillId="0" borderId="33" xfId="1" applyFont="1" applyBorder="1" applyAlignment="1">
      <alignment horizontal="center" vertical="center" wrapText="1"/>
    </xf>
    <xf numFmtId="168" fontId="2" fillId="0" borderId="21" xfId="8" applyBorder="1" applyAlignment="1">
      <alignment horizontal="center" vertical="center" wrapText="1"/>
    </xf>
    <xf numFmtId="0" fontId="2" fillId="5" borderId="7" xfId="0" applyFont="1" applyFill="1" applyBorder="1" applyAlignment="1">
      <alignment horizontal="center" vertical="center"/>
    </xf>
    <xf numFmtId="1" fontId="2" fillId="5" borderId="7" xfId="9" applyNumberFormat="1" applyFont="1" applyFill="1" applyBorder="1" applyAlignment="1">
      <alignment horizontal="center" vertical="center" wrapText="1"/>
    </xf>
    <xf numFmtId="0" fontId="2" fillId="5" borderId="7" xfId="10" applyFont="1" applyFill="1" applyBorder="1" applyAlignment="1">
      <alignment horizontal="center" vertical="center"/>
    </xf>
    <xf numFmtId="168" fontId="2" fillId="5" borderId="7" xfId="8" applyFont="1" applyFill="1" applyBorder="1" applyAlignment="1">
      <alignment horizontal="center" vertical="center" wrapText="1"/>
    </xf>
    <xf numFmtId="4" fontId="2" fillId="5" borderId="7" xfId="8" applyNumberFormat="1" applyFont="1" applyFill="1" applyBorder="1" applyAlignment="1">
      <alignment horizontal="right" vertical="center" wrapText="1"/>
    </xf>
    <xf numFmtId="2" fontId="16" fillId="4" borderId="20" xfId="7" applyNumberFormat="1" applyFont="1" applyFill="1" applyBorder="1" applyAlignment="1">
      <alignment horizontal="center" vertical="center"/>
    </xf>
    <xf numFmtId="1" fontId="16" fillId="4" borderId="20" xfId="7" applyNumberFormat="1" applyFont="1" applyFill="1" applyBorder="1" applyAlignment="1">
      <alignment vertical="center"/>
    </xf>
    <xf numFmtId="0" fontId="16" fillId="4" borderId="84" xfId="7" applyFont="1" applyFill="1" applyBorder="1" applyAlignment="1">
      <alignment vertical="center"/>
    </xf>
    <xf numFmtId="0" fontId="16" fillId="4" borderId="20" xfId="7" applyFont="1" applyFill="1" applyBorder="1" applyAlignment="1">
      <alignment vertical="center"/>
    </xf>
    <xf numFmtId="0" fontId="2" fillId="0" borderId="21" xfId="10" applyFont="1" applyBorder="1" applyAlignment="1">
      <alignment horizontal="center" vertical="center"/>
    </xf>
    <xf numFmtId="43" fontId="16" fillId="0" borderId="20" xfId="1" applyFont="1" applyFill="1" applyBorder="1" applyAlignment="1">
      <alignment vertical="center"/>
    </xf>
    <xf numFmtId="169" fontId="2" fillId="0" borderId="84" xfId="8" applyNumberFormat="1" applyFill="1" applyBorder="1" applyAlignment="1">
      <alignment horizontal="center" vertical="center" wrapText="1"/>
    </xf>
    <xf numFmtId="2" fontId="2" fillId="0" borderId="20" xfId="1" applyNumberFormat="1" applyFont="1" applyFill="1" applyBorder="1" applyAlignment="1">
      <alignment horizontal="center" vertical="center" wrapText="1"/>
    </xf>
    <xf numFmtId="1" fontId="5" fillId="0" borderId="23" xfId="7" applyNumberFormat="1" applyFont="1" applyBorder="1" applyAlignment="1">
      <alignment vertical="center"/>
    </xf>
    <xf numFmtId="168" fontId="2" fillId="0" borderId="23" xfId="8" applyFont="1" applyFill="1" applyBorder="1" applyAlignment="1">
      <alignment horizontal="center" vertical="center" wrapText="1"/>
    </xf>
    <xf numFmtId="43" fontId="16" fillId="0" borderId="23" xfId="1" applyFont="1" applyFill="1" applyBorder="1" applyAlignment="1">
      <alignment vertical="center"/>
    </xf>
    <xf numFmtId="2" fontId="2" fillId="0" borderId="23" xfId="1" applyNumberFormat="1" applyFont="1" applyFill="1" applyBorder="1" applyAlignment="1">
      <alignment horizontal="center" vertical="center" wrapText="1"/>
    </xf>
    <xf numFmtId="1" fontId="5" fillId="0" borderId="23" xfId="7" applyNumberFormat="1" applyFont="1" applyBorder="1" applyAlignment="1">
      <alignment vertical="center" wrapText="1"/>
    </xf>
    <xf numFmtId="181" fontId="2" fillId="0" borderId="23" xfId="8" applyNumberFormat="1" applyFont="1" applyFill="1" applyBorder="1" applyAlignment="1">
      <alignment horizontal="center" vertical="center" wrapText="1"/>
    </xf>
    <xf numFmtId="43" fontId="18" fillId="0" borderId="84" xfId="1" applyFont="1" applyFill="1" applyBorder="1"/>
    <xf numFmtId="44" fontId="5" fillId="0" borderId="23" xfId="16" applyFont="1" applyFill="1" applyBorder="1" applyAlignment="1">
      <alignment horizontal="left" vertical="center" wrapText="1"/>
    </xf>
    <xf numFmtId="0" fontId="2" fillId="0" borderId="23" xfId="7" applyBorder="1" applyAlignment="1">
      <alignment horizontal="justify" vertical="center" wrapText="1"/>
    </xf>
    <xf numFmtId="0" fontId="2" fillId="0" borderId="34" xfId="7" applyBorder="1" applyAlignment="1">
      <alignment horizontal="justify" vertical="center" wrapText="1"/>
    </xf>
    <xf numFmtId="168" fontId="2" fillId="0" borderId="26" xfId="8" applyFont="1" applyFill="1" applyBorder="1" applyAlignment="1">
      <alignment horizontal="center" vertical="center" wrapText="1"/>
    </xf>
    <xf numFmtId="43" fontId="16" fillId="0" borderId="33" xfId="7" applyNumberFormat="1" applyFont="1" applyBorder="1" applyAlignment="1">
      <alignment vertical="center"/>
    </xf>
    <xf numFmtId="43" fontId="5" fillId="0" borderId="33" xfId="7" applyNumberFormat="1" applyFont="1" applyBorder="1" applyAlignment="1">
      <alignment vertical="center"/>
    </xf>
    <xf numFmtId="43" fontId="5" fillId="0" borderId="26" xfId="7" applyNumberFormat="1" applyFont="1" applyBorder="1" applyAlignment="1">
      <alignment vertical="center"/>
    </xf>
    <xf numFmtId="0" fontId="2" fillId="0" borderId="7" xfId="0" applyFont="1" applyBorder="1" applyAlignment="1">
      <alignment horizontal="center" vertical="center"/>
    </xf>
    <xf numFmtId="1" fontId="2" fillId="0" borderId="7" xfId="9" applyNumberFormat="1" applyFont="1" applyBorder="1" applyAlignment="1">
      <alignment horizontal="center" vertical="center" wrapText="1"/>
    </xf>
    <xf numFmtId="0" fontId="13" fillId="0" borderId="7" xfId="7" applyFont="1" applyBorder="1" applyAlignment="1">
      <alignment horizontal="justify" vertical="center" wrapText="1"/>
    </xf>
    <xf numFmtId="0" fontId="2" fillId="0" borderId="7" xfId="10" applyFont="1" applyBorder="1" applyAlignment="1">
      <alignment horizontal="center" vertical="center"/>
    </xf>
    <xf numFmtId="168" fontId="2" fillId="0" borderId="7" xfId="8" applyFont="1" applyFill="1" applyBorder="1" applyAlignment="1">
      <alignment horizontal="center" vertical="center" wrapText="1"/>
    </xf>
    <xf numFmtId="4" fontId="2" fillId="0" borderId="7" xfId="8" applyNumberFormat="1" applyFont="1" applyFill="1" applyBorder="1" applyAlignment="1">
      <alignment horizontal="right" vertical="center" wrapText="1"/>
    </xf>
    <xf numFmtId="43" fontId="16" fillId="0" borderId="7" xfId="7" applyNumberFormat="1" applyFont="1" applyBorder="1" applyAlignment="1">
      <alignment vertical="center"/>
    </xf>
    <xf numFmtId="169" fontId="2" fillId="0" borderId="7" xfId="8" applyNumberFormat="1" applyFill="1" applyBorder="1" applyAlignment="1">
      <alignment horizontal="center" vertical="center" wrapText="1"/>
    </xf>
    <xf numFmtId="43" fontId="16" fillId="0" borderId="7" xfId="1" applyFont="1" applyFill="1" applyBorder="1" applyAlignment="1">
      <alignment vertical="center"/>
    </xf>
    <xf numFmtId="0" fontId="21" fillId="7" borderId="7" xfId="10" applyFont="1" applyFill="1" applyBorder="1" applyAlignment="1">
      <alignment horizontal="center" vertical="center" wrapText="1"/>
    </xf>
    <xf numFmtId="4" fontId="31" fillId="7" borderId="7" xfId="10" applyNumberFormat="1" applyFont="1" applyFill="1" applyBorder="1" applyAlignment="1">
      <alignment horizontal="right" vertical="center" wrapText="1"/>
    </xf>
    <xf numFmtId="43" fontId="17" fillId="7" borderId="7" xfId="1" applyFont="1" applyFill="1" applyBorder="1" applyAlignment="1" applyProtection="1">
      <alignment horizontal="center" vertical="center"/>
    </xf>
    <xf numFmtId="165" fontId="31" fillId="7" borderId="7" xfId="10" applyNumberFormat="1" applyFont="1" applyFill="1" applyBorder="1" applyAlignment="1">
      <alignment vertical="center" wrapText="1"/>
    </xf>
    <xf numFmtId="49" fontId="22" fillId="2" borderId="85" xfId="4" applyNumberFormat="1" applyFont="1" applyFill="1" applyBorder="1" applyAlignment="1">
      <alignment horizontal="left" vertical="center"/>
    </xf>
    <xf numFmtId="4" fontId="13" fillId="2" borderId="6" xfId="1" applyNumberFormat="1" applyFont="1" applyFill="1" applyBorder="1" applyAlignment="1">
      <alignment horizontal="right" vertical="center"/>
    </xf>
    <xf numFmtId="14" fontId="22" fillId="2" borderId="85" xfId="4" applyNumberFormat="1" applyFont="1" applyFill="1" applyBorder="1" applyAlignment="1">
      <alignment horizontal="left" vertical="center"/>
    </xf>
    <xf numFmtId="0" fontId="13" fillId="2" borderId="6" xfId="4" applyFont="1" applyFill="1" applyBorder="1" applyAlignment="1">
      <alignment vertical="center"/>
    </xf>
    <xf numFmtId="0" fontId="13" fillId="2" borderId="85" xfId="3" applyFont="1" applyFill="1" applyBorder="1" applyAlignment="1">
      <alignment horizontal="center" vertical="center" wrapText="1"/>
    </xf>
    <xf numFmtId="0" fontId="13" fillId="4" borderId="85" xfId="3" applyFont="1" applyFill="1" applyBorder="1" applyAlignment="1">
      <alignment horizontal="center" vertical="center"/>
    </xf>
    <xf numFmtId="0" fontId="22" fillId="2" borderId="85" xfId="4" applyFont="1" applyFill="1" applyBorder="1" applyAlignment="1">
      <alignment horizontal="left" vertical="center"/>
    </xf>
    <xf numFmtId="0" fontId="2" fillId="0" borderId="85" xfId="3" applyBorder="1"/>
    <xf numFmtId="0" fontId="25" fillId="4" borderId="85" xfId="4" applyFont="1" applyFill="1" applyBorder="1" applyAlignment="1">
      <alignment horizontal="center" vertical="center"/>
    </xf>
    <xf numFmtId="0" fontId="2" fillId="0" borderId="83" xfId="3" applyBorder="1"/>
    <xf numFmtId="0" fontId="13" fillId="2" borderId="83" xfId="3" applyFont="1" applyFill="1" applyBorder="1" applyAlignment="1">
      <alignment horizontal="center" vertical="center" wrapText="1"/>
    </xf>
    <xf numFmtId="0" fontId="13" fillId="4" borderId="83" xfId="3" applyFont="1" applyFill="1" applyBorder="1" applyAlignment="1">
      <alignment horizontal="center" vertical="center"/>
    </xf>
    <xf numFmtId="0" fontId="22" fillId="2" borderId="83" xfId="4" applyFont="1" applyFill="1" applyBorder="1" applyAlignment="1">
      <alignment horizontal="left" vertical="center"/>
    </xf>
    <xf numFmtId="0" fontId="25" fillId="4" borderId="83" xfId="4" applyFont="1" applyFill="1" applyBorder="1" applyAlignment="1">
      <alignment horizontal="center" vertical="center"/>
    </xf>
    <xf numFmtId="49" fontId="22" fillId="2" borderId="0" xfId="4" applyNumberFormat="1" applyFont="1" applyFill="1" applyAlignment="1">
      <alignment horizontal="left" vertical="center"/>
    </xf>
    <xf numFmtId="14" fontId="22" fillId="2" borderId="0" xfId="4" applyNumberFormat="1" applyFont="1" applyFill="1" applyAlignment="1">
      <alignment horizontal="left" vertical="center"/>
    </xf>
    <xf numFmtId="0" fontId="22" fillId="2" borderId="0" xfId="4" applyFont="1" applyFill="1" applyAlignment="1">
      <alignment vertical="center"/>
    </xf>
    <xf numFmtId="43" fontId="2" fillId="2" borderId="83" xfId="1" applyFont="1" applyFill="1" applyBorder="1"/>
    <xf numFmtId="0" fontId="13" fillId="2" borderId="19" xfId="4" applyFont="1" applyFill="1" applyBorder="1" applyAlignment="1">
      <alignment vertical="center"/>
    </xf>
    <xf numFmtId="0" fontId="38" fillId="0" borderId="85" xfId="4" applyFont="1" applyBorder="1" applyAlignment="1">
      <alignment vertical="center"/>
    </xf>
    <xf numFmtId="0" fontId="38" fillId="0" borderId="83" xfId="4" applyFont="1" applyBorder="1" applyAlignment="1">
      <alignment horizontal="center" vertical="center"/>
    </xf>
    <xf numFmtId="0" fontId="39" fillId="2" borderId="84" xfId="3" applyFont="1" applyFill="1" applyBorder="1" applyAlignment="1">
      <alignment horizontal="center" vertical="distributed" wrapText="1"/>
    </xf>
    <xf numFmtId="1" fontId="39" fillId="0" borderId="84" xfId="3" applyNumberFormat="1" applyFont="1" applyBorder="1" applyAlignment="1">
      <alignment horizontal="left" vertical="center" wrapText="1"/>
    </xf>
    <xf numFmtId="0" fontId="39" fillId="2" borderId="85" xfId="3" applyFont="1" applyFill="1" applyBorder="1" applyAlignment="1">
      <alignment horizontal="center" vertical="center" wrapText="1"/>
    </xf>
    <xf numFmtId="0" fontId="39" fillId="2" borderId="83" xfId="3" applyFont="1" applyFill="1" applyBorder="1" applyAlignment="1">
      <alignment horizontal="center" vertical="center" wrapText="1"/>
    </xf>
    <xf numFmtId="0" fontId="39" fillId="2" borderId="84" xfId="3" applyFont="1" applyFill="1" applyBorder="1" applyAlignment="1">
      <alignment horizontal="center" vertical="center" wrapText="1"/>
    </xf>
    <xf numFmtId="0" fontId="39" fillId="2" borderId="84" xfId="3" applyFont="1" applyFill="1" applyBorder="1" applyAlignment="1">
      <alignment horizontal="center" vertical="top" wrapText="1"/>
    </xf>
    <xf numFmtId="165" fontId="39" fillId="2" borderId="84" xfId="3" applyNumberFormat="1" applyFont="1" applyFill="1" applyBorder="1" applyAlignment="1">
      <alignment horizontal="right" vertical="center" wrapText="1"/>
    </xf>
    <xf numFmtId="171" fontId="39" fillId="2" borderId="84" xfId="3" applyNumberFormat="1" applyFont="1" applyFill="1" applyBorder="1" applyAlignment="1">
      <alignment horizontal="center" vertical="center" wrapText="1"/>
    </xf>
    <xf numFmtId="1" fontId="33" fillId="2" borderId="33" xfId="3" applyNumberFormat="1" applyFont="1" applyFill="1" applyBorder="1" applyAlignment="1">
      <alignment horizontal="center" vertical="center" wrapText="1"/>
    </xf>
    <xf numFmtId="1" fontId="44" fillId="0" borderId="33" xfId="3" applyNumberFormat="1" applyFont="1" applyBorder="1" applyAlignment="1">
      <alignment horizontal="left" vertical="center" wrapText="1"/>
    </xf>
    <xf numFmtId="0" fontId="33" fillId="2" borderId="32" xfId="3" applyFont="1" applyFill="1" applyBorder="1" applyAlignment="1">
      <alignment horizontal="center" vertical="center" wrapText="1"/>
    </xf>
    <xf numFmtId="0" fontId="33" fillId="2" borderId="40" xfId="3" applyFont="1" applyFill="1" applyBorder="1" applyAlignment="1">
      <alignment horizontal="center" vertical="center" wrapText="1"/>
    </xf>
    <xf numFmtId="0" fontId="33" fillId="2" borderId="30" xfId="3" applyFont="1" applyFill="1" applyBorder="1" applyAlignment="1">
      <alignment horizontal="center" vertical="center" wrapText="1"/>
    </xf>
    <xf numFmtId="0" fontId="33" fillId="2" borderId="32" xfId="3" applyFont="1" applyFill="1" applyBorder="1" applyAlignment="1">
      <alignment horizontal="center" vertical="distributed" wrapText="1"/>
    </xf>
    <xf numFmtId="0" fontId="33" fillId="2" borderId="40" xfId="3" applyFont="1" applyFill="1" applyBorder="1" applyAlignment="1">
      <alignment horizontal="center" vertical="distributed" wrapText="1"/>
    </xf>
    <xf numFmtId="0" fontId="33" fillId="2" borderId="30" xfId="3" applyFont="1" applyFill="1" applyBorder="1" applyAlignment="1">
      <alignment horizontal="center" vertical="distributed" wrapText="1"/>
    </xf>
    <xf numFmtId="0" fontId="33" fillId="2" borderId="33" xfId="3" applyFont="1" applyFill="1" applyBorder="1" applyAlignment="1">
      <alignment horizontal="center" vertical="center" wrapText="1"/>
    </xf>
    <xf numFmtId="165" fontId="33" fillId="11" borderId="33" xfId="3" applyNumberFormat="1" applyFont="1" applyFill="1" applyBorder="1" applyAlignment="1">
      <alignment horizontal="center" vertical="center" wrapText="1"/>
    </xf>
    <xf numFmtId="0" fontId="33" fillId="2" borderId="33" xfId="3" applyFont="1" applyFill="1" applyBorder="1" applyAlignment="1">
      <alignment horizontal="center" vertical="distributed" wrapText="1"/>
    </xf>
    <xf numFmtId="1" fontId="33" fillId="2" borderId="84" xfId="3" applyNumberFormat="1" applyFont="1" applyFill="1" applyBorder="1" applyAlignment="1">
      <alignment horizontal="center" vertical="center" wrapText="1"/>
    </xf>
    <xf numFmtId="4" fontId="4" fillId="0" borderId="33" xfId="3" applyNumberFormat="1" applyFont="1" applyBorder="1" applyAlignment="1">
      <alignment horizontal="right" vertical="center" wrapText="1"/>
    </xf>
    <xf numFmtId="174" fontId="42" fillId="0" borderId="2" xfId="3" applyNumberFormat="1" applyFont="1" applyBorder="1" applyAlignment="1">
      <alignment vertical="center" wrapText="1"/>
    </xf>
    <xf numFmtId="0" fontId="42" fillId="0" borderId="2" xfId="3" applyFont="1" applyBorder="1" applyAlignment="1">
      <alignment vertical="center" wrapText="1"/>
    </xf>
    <xf numFmtId="0" fontId="36" fillId="4" borderId="6" xfId="0" applyFont="1" applyFill="1" applyBorder="1" applyAlignment="1">
      <alignment horizontal="center" vertical="center"/>
    </xf>
    <xf numFmtId="0" fontId="36" fillId="4" borderId="18" xfId="0" applyFont="1" applyFill="1" applyBorder="1" applyAlignment="1">
      <alignment vertical="center"/>
    </xf>
    <xf numFmtId="0" fontId="36" fillId="4" borderId="18" xfId="0" applyFont="1" applyFill="1" applyBorder="1" applyAlignment="1">
      <alignment horizontal="center" vertical="center"/>
    </xf>
    <xf numFmtId="1" fontId="39" fillId="4" borderId="18" xfId="0" applyNumberFormat="1" applyFont="1" applyFill="1" applyBorder="1" applyAlignment="1">
      <alignment vertical="center"/>
    </xf>
    <xf numFmtId="0" fontId="39" fillId="4" borderId="18" xfId="0" applyFont="1" applyFill="1" applyBorder="1" applyAlignment="1">
      <alignment vertical="center"/>
    </xf>
    <xf numFmtId="1" fontId="40" fillId="4" borderId="18" xfId="0" applyNumberFormat="1" applyFont="1" applyFill="1" applyBorder="1" applyAlignment="1">
      <alignment horizontal="right" vertical="center"/>
    </xf>
    <xf numFmtId="165" fontId="40" fillId="4" borderId="18" xfId="0" applyNumberFormat="1" applyFont="1" applyFill="1" applyBorder="1" applyAlignment="1">
      <alignment horizontal="right" vertical="center"/>
    </xf>
    <xf numFmtId="0" fontId="39" fillId="4" borderId="19" xfId="0" applyFont="1" applyFill="1" applyBorder="1" applyAlignment="1">
      <alignment horizontal="center" vertical="center"/>
    </xf>
    <xf numFmtId="49" fontId="39" fillId="2" borderId="84" xfId="12" applyNumberFormat="1" applyFont="1" applyFill="1" applyBorder="1" applyAlignment="1">
      <alignment horizontal="center" vertical="center" wrapText="1"/>
    </xf>
    <xf numFmtId="1" fontId="39" fillId="2" borderId="85" xfId="3" applyNumberFormat="1" applyFont="1" applyFill="1" applyBorder="1" applyAlignment="1">
      <alignment horizontal="right" vertical="center" wrapText="1"/>
    </xf>
    <xf numFmtId="1" fontId="39" fillId="2" borderId="0" xfId="3" applyNumberFormat="1" applyFont="1" applyFill="1" applyAlignment="1">
      <alignment horizontal="center" vertical="center" wrapText="1"/>
    </xf>
    <xf numFmtId="2" fontId="39" fillId="2" borderId="83" xfId="3" applyNumberFormat="1" applyFont="1" applyFill="1" applyBorder="1" applyAlignment="1">
      <alignment horizontal="left" vertical="center" wrapText="1"/>
    </xf>
    <xf numFmtId="43" fontId="39" fillId="2" borderId="85" xfId="1" applyFont="1" applyFill="1" applyBorder="1" applyAlignment="1">
      <alignment horizontal="center" vertical="center" wrapText="1"/>
    </xf>
    <xf numFmtId="43" fontId="39" fillId="2" borderId="84" xfId="1" applyFont="1" applyFill="1" applyBorder="1" applyAlignment="1">
      <alignment horizontal="center" vertical="center" wrapText="1"/>
    </xf>
    <xf numFmtId="43" fontId="39" fillId="2" borderId="85" xfId="1" applyFont="1" applyFill="1" applyBorder="1" applyAlignment="1">
      <alignment horizontal="center" vertical="distributed" wrapText="1"/>
    </xf>
    <xf numFmtId="43" fontId="39" fillId="2" borderId="83" xfId="1" applyFont="1" applyFill="1" applyBorder="1" applyAlignment="1">
      <alignment horizontal="center" vertical="distributed" wrapText="1"/>
    </xf>
    <xf numFmtId="172" fontId="39" fillId="2" borderId="84" xfId="1" applyNumberFormat="1" applyFont="1" applyFill="1" applyBorder="1" applyAlignment="1">
      <alignment horizontal="right" vertical="distributed" wrapText="1"/>
    </xf>
    <xf numFmtId="43" fontId="39" fillId="2" borderId="84" xfId="1" applyFont="1" applyFill="1" applyBorder="1" applyAlignment="1">
      <alignment horizontal="center" vertical="distributed" wrapText="1"/>
    </xf>
    <xf numFmtId="0" fontId="36" fillId="0" borderId="18" xfId="0" applyFont="1" applyBorder="1" applyAlignment="1">
      <alignment vertical="center" wrapText="1"/>
    </xf>
    <xf numFmtId="0" fontId="42" fillId="0" borderId="18" xfId="0" applyFont="1" applyBorder="1" applyAlignment="1">
      <alignment horizontal="right" vertical="center" wrapText="1"/>
    </xf>
    <xf numFmtId="0" fontId="42" fillId="0" borderId="18" xfId="0" applyFont="1" applyBorder="1" applyAlignment="1">
      <alignment horizontal="center" vertical="center" wrapText="1"/>
    </xf>
    <xf numFmtId="10" fontId="42" fillId="0" borderId="18" xfId="3" applyNumberFormat="1" applyFont="1" applyBorder="1" applyAlignment="1">
      <alignment horizontal="right" vertical="center" wrapText="1"/>
    </xf>
    <xf numFmtId="10" fontId="42" fillId="0" borderId="18" xfId="3" applyNumberFormat="1" applyFont="1" applyBorder="1" applyAlignment="1">
      <alignment horizontal="center" vertical="center" wrapText="1"/>
    </xf>
    <xf numFmtId="174" fontId="42" fillId="0" borderId="18" xfId="3" applyNumberFormat="1" applyFont="1" applyBorder="1" applyAlignment="1">
      <alignment horizontal="center" vertical="center" wrapText="1"/>
    </xf>
    <xf numFmtId="0" fontId="42" fillId="0" borderId="18" xfId="3" applyFont="1" applyBorder="1" applyAlignment="1">
      <alignment horizontal="center" vertical="center" wrapText="1"/>
    </xf>
    <xf numFmtId="165" fontId="42" fillId="0" borderId="18" xfId="1" applyNumberFormat="1" applyFont="1" applyFill="1" applyBorder="1" applyAlignment="1">
      <alignment horizontal="center" vertical="center" wrapText="1"/>
    </xf>
    <xf numFmtId="165" fontId="42" fillId="0" borderId="18" xfId="3" applyNumberFormat="1" applyFont="1" applyBorder="1" applyAlignment="1">
      <alignment horizontal="center" vertical="center" wrapText="1"/>
    </xf>
    <xf numFmtId="1" fontId="3" fillId="0" borderId="6" xfId="0" applyNumberFormat="1" applyFont="1" applyBorder="1" applyAlignment="1">
      <alignment vertical="center" wrapText="1"/>
    </xf>
    <xf numFmtId="0" fontId="3" fillId="0" borderId="18" xfId="0" applyFont="1" applyBorder="1" applyAlignment="1">
      <alignment vertical="center" wrapText="1"/>
    </xf>
    <xf numFmtId="0" fontId="43" fillId="0" borderId="18" xfId="0" applyFont="1" applyBorder="1" applyAlignment="1">
      <alignment horizontal="right" vertical="center" wrapText="1"/>
    </xf>
    <xf numFmtId="0" fontId="43" fillId="0" borderId="18" xfId="0" applyFont="1" applyBorder="1" applyAlignment="1">
      <alignment horizontal="center" vertical="center" wrapText="1"/>
    </xf>
    <xf numFmtId="10" fontId="43" fillId="0" borderId="18" xfId="3" applyNumberFormat="1" applyFont="1" applyBorder="1" applyAlignment="1">
      <alignment horizontal="right" vertical="center" wrapText="1"/>
    </xf>
    <xf numFmtId="10" fontId="43" fillId="0" borderId="18" xfId="3" applyNumberFormat="1" applyFont="1" applyBorder="1" applyAlignment="1">
      <alignment horizontal="center" vertical="center" wrapText="1"/>
    </xf>
    <xf numFmtId="174" fontId="43" fillId="0" borderId="18" xfId="3" applyNumberFormat="1" applyFont="1" applyBorder="1" applyAlignment="1">
      <alignment horizontal="center" vertical="center" wrapText="1"/>
    </xf>
    <xf numFmtId="0" fontId="43" fillId="0" borderId="18" xfId="3" applyFont="1" applyBorder="1" applyAlignment="1">
      <alignment horizontal="center" vertical="center" wrapText="1"/>
    </xf>
    <xf numFmtId="165" fontId="43" fillId="0" borderId="18" xfId="1" applyNumberFormat="1" applyFont="1" applyFill="1" applyBorder="1" applyAlignment="1">
      <alignment horizontal="center" vertical="center" wrapText="1"/>
    </xf>
    <xf numFmtId="165" fontId="43" fillId="0" borderId="18" xfId="3" applyNumberFormat="1" applyFont="1" applyBorder="1" applyAlignment="1">
      <alignment horizontal="center" vertical="center" wrapText="1"/>
    </xf>
    <xf numFmtId="0" fontId="4" fillId="0" borderId="18" xfId="3" applyFont="1" applyBorder="1" applyAlignment="1">
      <alignment wrapText="1"/>
    </xf>
    <xf numFmtId="49" fontId="4" fillId="2" borderId="84" xfId="12" applyNumberFormat="1" applyFont="1" applyFill="1" applyBorder="1" applyAlignment="1">
      <alignment horizontal="left" vertical="top" wrapText="1"/>
    </xf>
    <xf numFmtId="0" fontId="4" fillId="2" borderId="84" xfId="12" applyFont="1" applyFill="1" applyBorder="1" applyAlignment="1">
      <alignment horizontal="left" vertical="top" wrapText="1"/>
    </xf>
    <xf numFmtId="43" fontId="4" fillId="2" borderId="85" xfId="1" applyFont="1" applyFill="1" applyBorder="1" applyAlignment="1">
      <alignment horizontal="center" vertical="center" wrapText="1"/>
    </xf>
    <xf numFmtId="172" fontId="4" fillId="2" borderId="84" xfId="1" applyNumberFormat="1" applyFont="1" applyFill="1" applyBorder="1" applyAlignment="1">
      <alignment horizontal="center" vertical="center" wrapText="1"/>
    </xf>
    <xf numFmtId="0" fontId="4" fillId="2" borderId="83" xfId="3" applyFont="1" applyFill="1" applyBorder="1" applyAlignment="1">
      <alignment horizontal="left" vertical="top" wrapText="1"/>
    </xf>
    <xf numFmtId="1" fontId="36" fillId="0" borderId="85" xfId="0" applyNumberFormat="1" applyFont="1" applyBorder="1" applyAlignment="1">
      <alignment vertical="center" wrapText="1"/>
    </xf>
    <xf numFmtId="0" fontId="36" fillId="0" borderId="0" xfId="0" applyFont="1" applyAlignment="1">
      <alignment vertical="center" wrapText="1"/>
    </xf>
    <xf numFmtId="0" fontId="42" fillId="0" borderId="0" xfId="0" applyFont="1" applyAlignment="1">
      <alignment horizontal="right" vertical="center" wrapText="1"/>
    </xf>
    <xf numFmtId="0" fontId="42" fillId="0" borderId="0" xfId="0" applyFont="1" applyAlignment="1">
      <alignment horizontal="center" vertical="center" wrapText="1"/>
    </xf>
    <xf numFmtId="10" fontId="42" fillId="0" borderId="0" xfId="3" applyNumberFormat="1" applyFont="1" applyAlignment="1">
      <alignment horizontal="right" vertical="center" wrapText="1"/>
    </xf>
    <xf numFmtId="10" fontId="42" fillId="0" borderId="0" xfId="3" applyNumberFormat="1" applyFont="1" applyAlignment="1">
      <alignment horizontal="center" vertical="center" wrapText="1"/>
    </xf>
    <xf numFmtId="174" fontId="42" fillId="0" borderId="0" xfId="3" applyNumberFormat="1" applyFont="1" applyAlignment="1">
      <alignment horizontal="center" vertical="center" wrapText="1"/>
    </xf>
    <xf numFmtId="0" fontId="42" fillId="0" borderId="0" xfId="3" applyFont="1" applyAlignment="1">
      <alignment horizontal="center" vertical="center" wrapText="1"/>
    </xf>
    <xf numFmtId="165" fontId="42" fillId="0" borderId="0" xfId="1" applyNumberFormat="1" applyFont="1" applyFill="1" applyBorder="1" applyAlignment="1">
      <alignment horizontal="center" vertical="center" wrapText="1"/>
    </xf>
    <xf numFmtId="165" fontId="42" fillId="0" borderId="0" xfId="3" applyNumberFormat="1" applyFont="1" applyAlignment="1">
      <alignment horizontal="center" vertical="center" wrapText="1"/>
    </xf>
    <xf numFmtId="1" fontId="36" fillId="2" borderId="84" xfId="3" applyNumberFormat="1" applyFont="1" applyFill="1" applyBorder="1" applyAlignment="1">
      <alignment horizontal="center" vertical="center" wrapText="1"/>
    </xf>
    <xf numFmtId="0" fontId="36" fillId="2" borderId="84" xfId="3" applyFont="1" applyFill="1" applyBorder="1" applyAlignment="1">
      <alignment horizontal="center" vertical="center" wrapText="1"/>
    </xf>
    <xf numFmtId="0" fontId="36" fillId="2" borderId="84" xfId="3" applyFont="1" applyFill="1" applyBorder="1" applyAlignment="1">
      <alignment horizontal="center" vertical="distributed" wrapText="1"/>
    </xf>
    <xf numFmtId="0" fontId="36" fillId="2" borderId="84" xfId="3" applyFont="1" applyFill="1" applyBorder="1" applyAlignment="1">
      <alignment horizontal="center" wrapText="1"/>
    </xf>
    <xf numFmtId="0" fontId="36" fillId="2" borderId="85" xfId="0" applyFont="1" applyFill="1" applyBorder="1" applyAlignment="1">
      <alignment horizontal="center" vertical="center"/>
    </xf>
    <xf numFmtId="0" fontId="36" fillId="2" borderId="0" xfId="0" applyFont="1" applyFill="1" applyAlignment="1">
      <alignment vertical="center"/>
    </xf>
    <xf numFmtId="0" fontId="36" fillId="2" borderId="0" xfId="0" applyFont="1" applyFill="1" applyAlignment="1">
      <alignment horizontal="center" vertical="center"/>
    </xf>
    <xf numFmtId="1" fontId="40" fillId="2" borderId="0" xfId="0" applyNumberFormat="1" applyFont="1" applyFill="1" applyAlignment="1">
      <alignment horizontal="right" vertical="center"/>
    </xf>
    <xf numFmtId="165" fontId="40" fillId="2" borderId="0" xfId="0" applyNumberFormat="1" applyFont="1" applyFill="1" applyAlignment="1">
      <alignment horizontal="right" vertical="center"/>
    </xf>
    <xf numFmtId="1" fontId="40" fillId="2" borderId="83" xfId="0" applyNumberFormat="1" applyFont="1" applyFill="1" applyBorder="1" applyAlignment="1">
      <alignment horizontal="center" vertical="center"/>
    </xf>
    <xf numFmtId="0" fontId="3" fillId="2" borderId="84" xfId="3" applyFont="1" applyFill="1" applyBorder="1" applyAlignment="1">
      <alignment horizontal="center" wrapText="1"/>
    </xf>
    <xf numFmtId="49" fontId="4" fillId="0" borderId="20" xfId="12" applyNumberFormat="1" applyFont="1" applyBorder="1" applyAlignment="1">
      <alignment horizontal="center" vertical="center" wrapText="1"/>
    </xf>
    <xf numFmtId="2" fontId="4" fillId="0" borderId="35" xfId="3" applyNumberFormat="1" applyFont="1" applyBorder="1" applyAlignment="1">
      <alignment horizontal="center" vertical="distributed" wrapText="1"/>
    </xf>
    <xf numFmtId="2" fontId="4" fillId="0" borderId="36" xfId="3" applyNumberFormat="1" applyFont="1" applyBorder="1" applyAlignment="1">
      <alignment horizontal="center" vertical="distributed" wrapText="1"/>
    </xf>
    <xf numFmtId="2" fontId="4" fillId="0" borderId="28" xfId="3" applyNumberFormat="1" applyFont="1" applyBorder="1" applyAlignment="1">
      <alignment horizontal="center" vertical="distributed" wrapText="1"/>
    </xf>
    <xf numFmtId="0" fontId="4" fillId="0" borderId="28" xfId="3" applyFont="1" applyBorder="1" applyAlignment="1">
      <alignment horizontal="center" vertical="center" wrapText="1"/>
    </xf>
    <xf numFmtId="0" fontId="4" fillId="0" borderId="36" xfId="3" applyFont="1" applyBorder="1" applyAlignment="1">
      <alignment horizontal="center" vertical="center" wrapText="1"/>
    </xf>
    <xf numFmtId="174" fontId="4" fillId="0" borderId="35" xfId="3" applyNumberFormat="1" applyFont="1" applyBorder="1" applyAlignment="1">
      <alignment horizontal="center" vertical="center" wrapText="1"/>
    </xf>
    <xf numFmtId="0" fontId="4" fillId="0" borderId="20" xfId="3" applyFont="1" applyBorder="1" applyAlignment="1">
      <alignment horizontal="center" vertical="top" wrapText="1"/>
    </xf>
    <xf numFmtId="165" fontId="4" fillId="0" borderId="20" xfId="3" applyNumberFormat="1" applyFont="1" applyBorder="1" applyAlignment="1">
      <alignment horizontal="right" vertical="center" wrapText="1"/>
    </xf>
    <xf numFmtId="171" fontId="4" fillId="0" borderId="20" xfId="3" applyNumberFormat="1" applyFont="1" applyBorder="1" applyAlignment="1">
      <alignment horizontal="center" vertical="center" wrapText="1"/>
    </xf>
    <xf numFmtId="0" fontId="4" fillId="0" borderId="20" xfId="3" applyFont="1" applyBorder="1" applyAlignment="1">
      <alignment horizontal="left" vertical="distributed" wrapText="1"/>
    </xf>
    <xf numFmtId="1" fontId="3" fillId="0" borderId="85" xfId="0" applyNumberFormat="1" applyFont="1" applyBorder="1" applyAlignment="1">
      <alignment vertical="center" wrapText="1"/>
    </xf>
    <xf numFmtId="0" fontId="3" fillId="0" borderId="0" xfId="0" applyFont="1" applyAlignment="1">
      <alignment vertical="center" wrapText="1"/>
    </xf>
    <xf numFmtId="0" fontId="43" fillId="0" borderId="0" xfId="0" applyFont="1" applyAlignment="1">
      <alignment horizontal="right" vertical="center" wrapText="1"/>
    </xf>
    <xf numFmtId="0" fontId="43" fillId="0" borderId="0" xfId="0" applyFont="1" applyAlignment="1">
      <alignment horizontal="center" vertical="center" wrapText="1"/>
    </xf>
    <xf numFmtId="10" fontId="43" fillId="0" borderId="0" xfId="3" applyNumberFormat="1" applyFont="1" applyAlignment="1">
      <alignment horizontal="right" vertical="center" wrapText="1"/>
    </xf>
    <xf numFmtId="10" fontId="43" fillId="0" borderId="0" xfId="3" applyNumberFormat="1" applyFont="1" applyAlignment="1">
      <alignment horizontal="center" vertical="center" wrapText="1"/>
    </xf>
    <xf numFmtId="174" fontId="43" fillId="0" borderId="0" xfId="3" applyNumberFormat="1" applyFont="1" applyAlignment="1">
      <alignment horizontal="center" vertical="center" wrapText="1"/>
    </xf>
    <xf numFmtId="0" fontId="43" fillId="0" borderId="0" xfId="3" applyFont="1" applyAlignment="1">
      <alignment horizontal="center" vertical="center" wrapText="1"/>
    </xf>
    <xf numFmtId="165" fontId="43" fillId="0" borderId="0" xfId="1" applyNumberFormat="1" applyFont="1" applyFill="1" applyBorder="1" applyAlignment="1">
      <alignment horizontal="center" vertical="center" wrapText="1"/>
    </xf>
    <xf numFmtId="165" fontId="43" fillId="0" borderId="0" xfId="3" applyNumberFormat="1" applyFont="1" applyAlignment="1">
      <alignment horizontal="center" vertical="center" wrapText="1"/>
    </xf>
    <xf numFmtId="2" fontId="41" fillId="2" borderId="0" xfId="3" applyNumberFormat="1" applyFont="1" applyFill="1" applyAlignment="1">
      <alignment horizontal="center" vertical="center" wrapText="1"/>
    </xf>
    <xf numFmtId="2" fontId="41" fillId="0" borderId="84" xfId="3" applyNumberFormat="1" applyFont="1" applyBorder="1" applyAlignment="1">
      <alignment horizontal="center" vertical="center" wrapText="1"/>
    </xf>
    <xf numFmtId="0" fontId="41" fillId="2" borderId="84" xfId="3" applyFont="1" applyFill="1" applyBorder="1" applyAlignment="1">
      <alignment horizontal="center" vertical="top" wrapText="1"/>
    </xf>
    <xf numFmtId="171" fontId="41" fillId="2" borderId="84" xfId="3" applyNumberFormat="1" applyFont="1" applyFill="1" applyBorder="1" applyAlignment="1">
      <alignment horizontal="center" vertical="center" wrapText="1"/>
    </xf>
    <xf numFmtId="0" fontId="41" fillId="2" borderId="84" xfId="3" applyFont="1" applyFill="1" applyBorder="1" applyAlignment="1">
      <alignment horizontal="left" vertical="distributed" wrapText="1"/>
    </xf>
    <xf numFmtId="0" fontId="39" fillId="2" borderId="85" xfId="3" applyFont="1" applyFill="1" applyBorder="1" applyAlignment="1">
      <alignment horizontal="center" vertical="distributed" wrapText="1"/>
    </xf>
    <xf numFmtId="0" fontId="39" fillId="2" borderId="0" xfId="3" applyFont="1" applyFill="1" applyAlignment="1">
      <alignment horizontal="center" vertical="distributed" wrapText="1"/>
    </xf>
    <xf numFmtId="0" fontId="39" fillId="2" borderId="83" xfId="3" applyFont="1" applyFill="1" applyBorder="1" applyAlignment="1">
      <alignment horizontal="center" vertical="distributed" wrapText="1"/>
    </xf>
    <xf numFmtId="0" fontId="36" fillId="2" borderId="20" xfId="3" applyFont="1" applyFill="1" applyBorder="1" applyAlignment="1">
      <alignment horizontal="center" vertical="distributed" wrapText="1"/>
    </xf>
    <xf numFmtId="1" fontId="3" fillId="0" borderId="20" xfId="3" applyNumberFormat="1" applyFont="1" applyBorder="1" applyAlignment="1">
      <alignment horizontal="left" vertical="center" wrapText="1"/>
    </xf>
    <xf numFmtId="0" fontId="3" fillId="2" borderId="35" xfId="3" applyFont="1" applyFill="1" applyBorder="1" applyAlignment="1">
      <alignment horizontal="center" vertical="center" wrapText="1"/>
    </xf>
    <xf numFmtId="0" fontId="3" fillId="2" borderId="36" xfId="3" applyFont="1" applyFill="1" applyBorder="1" applyAlignment="1">
      <alignment horizontal="center" vertical="center" wrapText="1"/>
    </xf>
    <xf numFmtId="0" fontId="3" fillId="2" borderId="28" xfId="3" applyFont="1" applyFill="1" applyBorder="1" applyAlignment="1">
      <alignment horizontal="center" vertical="center" wrapText="1"/>
    </xf>
    <xf numFmtId="0" fontId="3" fillId="2" borderId="35" xfId="3" applyFont="1" applyFill="1" applyBorder="1" applyAlignment="1">
      <alignment horizontal="center" vertical="distributed" wrapText="1"/>
    </xf>
    <xf numFmtId="0" fontId="3" fillId="2" borderId="36" xfId="3" applyFont="1" applyFill="1" applyBorder="1" applyAlignment="1">
      <alignment horizontal="center" vertical="distributed" wrapText="1"/>
    </xf>
    <xf numFmtId="0" fontId="3" fillId="2" borderId="28" xfId="3" applyFont="1" applyFill="1" applyBorder="1" applyAlignment="1">
      <alignment horizontal="center" vertical="distributed" wrapText="1"/>
    </xf>
    <xf numFmtId="1" fontId="44" fillId="0" borderId="84" xfId="3" applyNumberFormat="1" applyFont="1" applyBorder="1" applyAlignment="1">
      <alignment horizontal="left" vertical="center" wrapText="1"/>
    </xf>
    <xf numFmtId="49" fontId="44" fillId="0" borderId="84" xfId="12" applyNumberFormat="1" applyFont="1" applyBorder="1" applyAlignment="1">
      <alignment horizontal="center" vertical="center" wrapText="1"/>
    </xf>
    <xf numFmtId="2" fontId="44" fillId="2" borderId="85" xfId="3" applyNumberFormat="1" applyFont="1" applyFill="1" applyBorder="1" applyAlignment="1">
      <alignment horizontal="center" vertical="center" wrapText="1"/>
    </xf>
    <xf numFmtId="2" fontId="44" fillId="2" borderId="83" xfId="3" applyNumberFormat="1" applyFont="1" applyFill="1" applyBorder="1" applyAlignment="1">
      <alignment horizontal="center" vertical="center" wrapText="1"/>
    </xf>
    <xf numFmtId="2" fontId="44" fillId="2" borderId="85" xfId="3" applyNumberFormat="1" applyFont="1" applyFill="1" applyBorder="1" applyAlignment="1">
      <alignment horizontal="center" vertical="distributed" wrapText="1"/>
    </xf>
    <xf numFmtId="0" fontId="44" fillId="2" borderId="0" xfId="3" applyFont="1" applyFill="1" applyAlignment="1">
      <alignment horizontal="center" vertical="distributed" wrapText="1"/>
    </xf>
    <xf numFmtId="2" fontId="44" fillId="2" borderId="83" xfId="3" applyNumberFormat="1" applyFont="1" applyFill="1" applyBorder="1" applyAlignment="1">
      <alignment horizontal="center" vertical="distributed" wrapText="1"/>
    </xf>
    <xf numFmtId="174" fontId="44" fillId="2" borderId="84" xfId="3" applyNumberFormat="1" applyFont="1" applyFill="1" applyBorder="1" applyAlignment="1">
      <alignment horizontal="center" vertical="center" wrapText="1"/>
    </xf>
    <xf numFmtId="10" fontId="44" fillId="2" borderId="84" xfId="2" applyNumberFormat="1" applyFont="1" applyFill="1" applyBorder="1" applyAlignment="1">
      <alignment horizontal="center" vertical="center" wrapText="1"/>
    </xf>
    <xf numFmtId="0" fontId="44" fillId="2" borderId="84" xfId="3" applyFont="1" applyFill="1" applyBorder="1" applyAlignment="1">
      <alignment horizontal="left" vertical="center" wrapText="1"/>
    </xf>
    <xf numFmtId="4" fontId="4" fillId="0" borderId="20" xfId="3" applyNumberFormat="1" applyFont="1" applyBorder="1" applyAlignment="1">
      <alignment horizontal="right" vertical="center" wrapText="1"/>
    </xf>
    <xf numFmtId="0" fontId="43" fillId="5" borderId="0" xfId="3" applyFont="1" applyFill="1" applyAlignment="1">
      <alignment horizontal="right" vertical="center" wrapText="1"/>
    </xf>
    <xf numFmtId="165" fontId="43" fillId="5" borderId="0" xfId="1" applyNumberFormat="1" applyFont="1" applyFill="1" applyBorder="1" applyAlignment="1">
      <alignment horizontal="center" vertical="center" wrapText="1"/>
    </xf>
    <xf numFmtId="165" fontId="43" fillId="5" borderId="0" xfId="3" applyNumberFormat="1" applyFont="1" applyFill="1" applyAlignment="1">
      <alignment horizontal="center" vertical="center" wrapText="1"/>
    </xf>
    <xf numFmtId="1" fontId="41" fillId="0" borderId="84" xfId="3" applyNumberFormat="1" applyFont="1" applyBorder="1" applyAlignment="1">
      <alignment horizontal="left" vertical="top" wrapText="1"/>
    </xf>
    <xf numFmtId="1" fontId="41" fillId="0" borderId="85" xfId="3" applyNumberFormat="1" applyFont="1" applyBorder="1" applyAlignment="1">
      <alignment horizontal="center" vertical="center" wrapText="1"/>
    </xf>
    <xf numFmtId="0" fontId="41" fillId="0" borderId="84" xfId="3" applyFont="1" applyBorder="1" applyAlignment="1">
      <alignment horizontal="center" vertical="center" wrapText="1"/>
    </xf>
    <xf numFmtId="0" fontId="41" fillId="0" borderId="84" xfId="3" applyFont="1" applyBorder="1" applyAlignment="1">
      <alignment horizontal="center" vertical="top" wrapText="1"/>
    </xf>
    <xf numFmtId="0" fontId="41" fillId="0" borderId="83" xfId="3" applyFont="1" applyBorder="1" applyAlignment="1">
      <alignment horizontal="center" vertical="center"/>
    </xf>
    <xf numFmtId="1" fontId="36" fillId="0" borderId="84" xfId="3" applyNumberFormat="1" applyFont="1" applyBorder="1" applyAlignment="1">
      <alignment vertical="center" wrapText="1"/>
    </xf>
    <xf numFmtId="0" fontId="36" fillId="2" borderId="84" xfId="3" applyFont="1" applyFill="1" applyBorder="1" applyAlignment="1">
      <alignment vertical="center" wrapText="1"/>
    </xf>
    <xf numFmtId="165" fontId="36" fillId="2" borderId="84" xfId="3" applyNumberFormat="1" applyFont="1" applyFill="1" applyBorder="1" applyAlignment="1">
      <alignment vertical="center" wrapText="1"/>
    </xf>
    <xf numFmtId="0" fontId="36" fillId="2" borderId="84" xfId="3" applyFont="1" applyFill="1" applyBorder="1" applyAlignment="1">
      <alignment vertical="distributed" wrapText="1"/>
    </xf>
    <xf numFmtId="174" fontId="42" fillId="0" borderId="18" xfId="3" applyNumberFormat="1" applyFont="1" applyBorder="1" applyAlignment="1">
      <alignment vertical="center" wrapText="1"/>
    </xf>
    <xf numFmtId="0" fontId="42" fillId="0" borderId="18" xfId="3" applyFont="1" applyBorder="1" applyAlignment="1">
      <alignment vertical="center" wrapText="1"/>
    </xf>
    <xf numFmtId="0" fontId="22" fillId="0" borderId="16" xfId="3" applyFont="1" applyBorder="1"/>
    <xf numFmtId="49" fontId="41" fillId="2" borderId="26" xfId="12" applyNumberFormat="1" applyFont="1" applyFill="1" applyBorder="1" applyAlignment="1">
      <alignment horizontal="center" vertical="center" wrapText="1"/>
    </xf>
    <xf numFmtId="1" fontId="41" fillId="0" borderId="26" xfId="3" applyNumberFormat="1" applyFont="1" applyBorder="1" applyAlignment="1">
      <alignment horizontal="left" vertical="top" wrapText="1"/>
    </xf>
    <xf numFmtId="14" fontId="41" fillId="2" borderId="37" xfId="3" applyNumberFormat="1" applyFont="1" applyFill="1" applyBorder="1" applyAlignment="1">
      <alignment horizontal="center" vertical="center" wrapText="1"/>
    </xf>
    <xf numFmtId="14" fontId="41" fillId="2" borderId="38" xfId="3" applyNumberFormat="1" applyFont="1" applyFill="1" applyBorder="1" applyAlignment="1">
      <alignment horizontal="center" vertical="center" wrapText="1"/>
    </xf>
    <xf numFmtId="14" fontId="41" fillId="2" borderId="39" xfId="3" applyNumberFormat="1" applyFont="1" applyFill="1" applyBorder="1" applyAlignment="1">
      <alignment horizontal="center" vertical="center" wrapText="1"/>
    </xf>
    <xf numFmtId="43" fontId="41" fillId="2" borderId="37" xfId="1" applyFont="1" applyFill="1" applyBorder="1" applyAlignment="1">
      <alignment horizontal="center" vertical="center" wrapText="1"/>
    </xf>
    <xf numFmtId="43" fontId="41" fillId="2" borderId="39" xfId="1" applyFont="1" applyFill="1" applyBorder="1" applyAlignment="1">
      <alignment horizontal="center" vertical="center" wrapText="1"/>
    </xf>
    <xf numFmtId="43" fontId="41" fillId="2" borderId="38" xfId="1" applyFont="1" applyFill="1" applyBorder="1" applyAlignment="1">
      <alignment horizontal="center" vertical="center" wrapText="1"/>
    </xf>
    <xf numFmtId="43" fontId="41" fillId="2" borderId="37" xfId="1" applyFont="1" applyFill="1" applyBorder="1" applyAlignment="1">
      <alignment horizontal="center" vertical="distributed" wrapText="1"/>
    </xf>
    <xf numFmtId="43" fontId="41" fillId="2" borderId="39" xfId="1" applyFont="1" applyFill="1" applyBorder="1" applyAlignment="1">
      <alignment horizontal="center" vertical="distributed" wrapText="1"/>
    </xf>
    <xf numFmtId="0" fontId="23" fillId="0" borderId="39" xfId="3" applyFont="1" applyBorder="1"/>
    <xf numFmtId="0" fontId="36" fillId="2" borderId="83" xfId="0" applyFont="1" applyFill="1" applyBorder="1" applyAlignment="1">
      <alignment vertical="center" wrapText="1"/>
    </xf>
    <xf numFmtId="0" fontId="4" fillId="2" borderId="84" xfId="3" applyFont="1" applyFill="1" applyBorder="1" applyAlignment="1">
      <alignment horizontal="left" vertical="distributed" wrapText="1"/>
    </xf>
    <xf numFmtId="1" fontId="4" fillId="2" borderId="84" xfId="3" applyNumberFormat="1" applyFont="1" applyFill="1" applyBorder="1" applyAlignment="1">
      <alignment horizontal="left" vertical="center" wrapText="1"/>
    </xf>
    <xf numFmtId="0" fontId="4" fillId="2" borderId="84" xfId="3" applyFont="1" applyFill="1" applyBorder="1" applyAlignment="1">
      <alignment horizontal="left" vertical="top" wrapText="1"/>
    </xf>
    <xf numFmtId="49" fontId="41" fillId="2" borderId="26" xfId="12" applyNumberFormat="1" applyFont="1" applyFill="1" applyBorder="1" applyAlignment="1">
      <alignment horizontal="left" vertical="top" wrapText="1"/>
    </xf>
    <xf numFmtId="0" fontId="41" fillId="2" borderId="37" xfId="12" applyFont="1" applyFill="1" applyBorder="1" applyAlignment="1">
      <alignment horizontal="left" vertical="top" wrapText="1"/>
    </xf>
    <xf numFmtId="1" fontId="41" fillId="2" borderId="38" xfId="3" applyNumberFormat="1" applyFont="1" applyFill="1" applyBorder="1" applyAlignment="1">
      <alignment horizontal="center" vertical="center" wrapText="1"/>
    </xf>
    <xf numFmtId="0" fontId="4" fillId="2" borderId="39" xfId="3" applyFont="1" applyFill="1" applyBorder="1" applyAlignment="1">
      <alignment horizontal="center" vertical="center" wrapText="1"/>
    </xf>
    <xf numFmtId="174" fontId="41" fillId="0" borderId="26" xfId="3" applyNumberFormat="1" applyFont="1" applyBorder="1" applyAlignment="1">
      <alignment horizontal="center" vertical="center" wrapText="1"/>
    </xf>
    <xf numFmtId="174" fontId="41" fillId="0" borderId="26" xfId="3" applyNumberFormat="1" applyFont="1" applyBorder="1" applyAlignment="1">
      <alignment horizontal="right" vertical="center" wrapText="1"/>
    </xf>
    <xf numFmtId="0" fontId="4" fillId="2" borderId="39" xfId="3" applyFont="1" applyFill="1" applyBorder="1" applyAlignment="1">
      <alignment horizontal="left" vertical="top" wrapText="1"/>
    </xf>
    <xf numFmtId="0" fontId="3" fillId="0" borderId="84" xfId="0" applyFont="1" applyBorder="1" applyAlignment="1">
      <alignment vertical="center" wrapText="1"/>
    </xf>
    <xf numFmtId="0" fontId="41" fillId="2" borderId="37" xfId="3" applyFont="1" applyFill="1" applyBorder="1" applyAlignment="1">
      <alignment horizontal="center" vertical="center" wrapText="1"/>
    </xf>
    <xf numFmtId="0" fontId="41" fillId="2" borderId="38" xfId="3" applyFont="1" applyFill="1" applyBorder="1" applyAlignment="1">
      <alignment horizontal="center" vertical="center" wrapText="1"/>
    </xf>
    <xf numFmtId="0" fontId="41" fillId="2" borderId="39" xfId="3" applyFont="1" applyFill="1" applyBorder="1" applyAlignment="1">
      <alignment horizontal="center" vertical="center" wrapText="1"/>
    </xf>
    <xf numFmtId="0" fontId="41" fillId="2" borderId="37" xfId="3" applyFont="1" applyFill="1" applyBorder="1" applyAlignment="1">
      <alignment horizontal="center" vertical="distributed" wrapText="1"/>
    </xf>
    <xf numFmtId="0" fontId="41" fillId="2" borderId="38" xfId="3" applyFont="1" applyFill="1" applyBorder="1" applyAlignment="1">
      <alignment horizontal="center" vertical="distributed" wrapText="1"/>
    </xf>
    <xf numFmtId="0" fontId="41" fillId="2" borderId="39" xfId="3" applyFont="1" applyFill="1" applyBorder="1" applyAlignment="1">
      <alignment horizontal="center" vertical="distributed" wrapText="1"/>
    </xf>
    <xf numFmtId="0" fontId="47" fillId="2" borderId="26" xfId="3" applyFont="1" applyFill="1" applyBorder="1" applyAlignment="1">
      <alignment horizontal="center" vertical="distributed" wrapText="1"/>
    </xf>
    <xf numFmtId="0" fontId="5" fillId="2" borderId="7" xfId="3" applyFont="1" applyFill="1" applyBorder="1"/>
    <xf numFmtId="1" fontId="39" fillId="2" borderId="8" xfId="3" applyNumberFormat="1" applyFont="1" applyFill="1" applyBorder="1" applyAlignment="1">
      <alignment horizontal="right" vertical="center" wrapText="1"/>
    </xf>
    <xf numFmtId="1" fontId="39" fillId="2" borderId="9" xfId="3" applyNumberFormat="1" applyFont="1" applyFill="1" applyBorder="1" applyAlignment="1">
      <alignment horizontal="center" vertical="center" wrapText="1"/>
    </xf>
    <xf numFmtId="2" fontId="39" fillId="2" borderId="10" xfId="3" applyNumberFormat="1" applyFont="1" applyFill="1" applyBorder="1" applyAlignment="1">
      <alignment horizontal="left" vertical="center" wrapText="1"/>
    </xf>
    <xf numFmtId="0" fontId="39" fillId="2" borderId="7" xfId="3" applyFont="1" applyFill="1" applyBorder="1" applyAlignment="1">
      <alignment horizontal="center" vertical="center" wrapText="1"/>
    </xf>
    <xf numFmtId="43" fontId="39" fillId="2" borderId="7" xfId="1" applyFont="1" applyFill="1" applyBorder="1" applyAlignment="1">
      <alignment horizontal="center" vertical="center" wrapText="1"/>
    </xf>
    <xf numFmtId="43" fontId="39" fillId="2" borderId="7" xfId="1" applyFont="1" applyFill="1" applyBorder="1" applyAlignment="1">
      <alignment horizontal="center" vertical="distributed" wrapText="1"/>
    </xf>
    <xf numFmtId="172" fontId="39" fillId="2" borderId="7" xfId="1" applyNumberFormat="1" applyFont="1" applyFill="1" applyBorder="1" applyAlignment="1">
      <alignment horizontal="right" vertical="distributed" wrapText="1"/>
    </xf>
    <xf numFmtId="171" fontId="39" fillId="2" borderId="7" xfId="3" applyNumberFormat="1" applyFont="1" applyFill="1" applyBorder="1" applyAlignment="1">
      <alignment horizontal="center" vertical="center" wrapText="1"/>
    </xf>
    <xf numFmtId="0" fontId="39" fillId="2" borderId="7" xfId="3" applyFont="1" applyFill="1" applyBorder="1" applyAlignment="1">
      <alignment horizontal="center" vertical="distributed" wrapText="1"/>
    </xf>
    <xf numFmtId="0" fontId="36" fillId="2" borderId="84" xfId="3" applyFont="1" applyFill="1" applyBorder="1" applyAlignment="1">
      <alignment horizontal="center" vertical="top" wrapText="1"/>
    </xf>
    <xf numFmtId="1" fontId="41" fillId="0" borderId="34" xfId="3" applyNumberFormat="1" applyFont="1" applyBorder="1" applyAlignment="1">
      <alignment horizontal="left" vertical="center" wrapText="1"/>
    </xf>
    <xf numFmtId="0" fontId="41" fillId="2" borderId="6" xfId="3" applyFont="1" applyFill="1" applyBorder="1" applyAlignment="1">
      <alignment horizontal="center" vertical="center" wrapText="1"/>
    </xf>
    <xf numFmtId="0" fontId="41" fillId="2" borderId="19" xfId="3" applyFont="1" applyFill="1" applyBorder="1" applyAlignment="1">
      <alignment horizontal="center" vertical="center" wrapText="1"/>
    </xf>
    <xf numFmtId="165" fontId="41" fillId="2" borderId="34" xfId="3" applyNumberFormat="1" applyFont="1" applyFill="1" applyBorder="1" applyAlignment="1">
      <alignment horizontal="right" vertical="center" wrapText="1"/>
    </xf>
    <xf numFmtId="43" fontId="39" fillId="2" borderId="8" xfId="1" applyFont="1" applyFill="1" applyBorder="1" applyAlignment="1">
      <alignment horizontal="center" vertical="center" wrapText="1"/>
    </xf>
    <xf numFmtId="43" fontId="39" fillId="2" borderId="10" xfId="1" applyFont="1" applyFill="1" applyBorder="1" applyAlignment="1">
      <alignment horizontal="center" vertical="center" wrapText="1"/>
    </xf>
    <xf numFmtId="43" fontId="39" fillId="2" borderId="9" xfId="1" applyFont="1" applyFill="1" applyBorder="1" applyAlignment="1">
      <alignment horizontal="center" vertical="center" wrapText="1"/>
    </xf>
    <xf numFmtId="43" fontId="39" fillId="2" borderId="8" xfId="1" applyFont="1" applyFill="1" applyBorder="1" applyAlignment="1">
      <alignment horizontal="center" vertical="distributed" wrapText="1"/>
    </xf>
    <xf numFmtId="43" fontId="39" fillId="2" borderId="10" xfId="1" applyFont="1" applyFill="1" applyBorder="1" applyAlignment="1">
      <alignment horizontal="center" vertical="distributed" wrapText="1"/>
    </xf>
    <xf numFmtId="2" fontId="39" fillId="2" borderId="85" xfId="3" applyNumberFormat="1" applyFont="1" applyFill="1" applyBorder="1" applyAlignment="1">
      <alignment horizontal="center" vertical="center" wrapText="1"/>
    </xf>
    <xf numFmtId="2" fontId="39" fillId="2" borderId="83" xfId="3" applyNumberFormat="1" applyFont="1" applyFill="1" applyBorder="1" applyAlignment="1">
      <alignment horizontal="center" vertical="center" wrapText="1"/>
    </xf>
    <xf numFmtId="0" fontId="39" fillId="0" borderId="0" xfId="3" applyFont="1" applyAlignment="1">
      <alignment horizontal="center" vertical="center" wrapText="1"/>
    </xf>
    <xf numFmtId="0" fontId="4" fillId="2" borderId="84" xfId="3" applyFont="1" applyFill="1" applyBorder="1" applyAlignment="1">
      <alignment vertical="distributed" wrapText="1"/>
    </xf>
    <xf numFmtId="1" fontId="46" fillId="4" borderId="9" xfId="0" applyNumberFormat="1" applyFont="1" applyFill="1" applyBorder="1" applyAlignment="1">
      <alignment horizontal="right" vertical="center"/>
    </xf>
    <xf numFmtId="165" fontId="46" fillId="4" borderId="9" xfId="0" applyNumberFormat="1" applyFont="1" applyFill="1" applyBorder="1" applyAlignment="1">
      <alignment horizontal="right" vertical="center"/>
    </xf>
    <xf numFmtId="1" fontId="46" fillId="4" borderId="10" xfId="0" applyNumberFormat="1" applyFont="1" applyFill="1" applyBorder="1" applyAlignment="1">
      <alignment horizontal="center" vertical="center"/>
    </xf>
    <xf numFmtId="0" fontId="4" fillId="0" borderId="84" xfId="3" applyFont="1" applyBorder="1" applyAlignment="1">
      <alignment horizontal="left" vertical="distributed" wrapText="1"/>
    </xf>
    <xf numFmtId="49" fontId="4" fillId="0" borderId="26" xfId="12" applyNumberFormat="1" applyFont="1" applyBorder="1" applyAlignment="1">
      <alignment horizontal="center" vertical="center" wrapText="1"/>
    </xf>
    <xf numFmtId="2" fontId="4" fillId="2" borderId="37" xfId="3" applyNumberFormat="1" applyFont="1" applyFill="1" applyBorder="1" applyAlignment="1">
      <alignment horizontal="center" vertical="center" wrapText="1"/>
    </xf>
    <xf numFmtId="176" fontId="4" fillId="2" borderId="38" xfId="3" applyNumberFormat="1" applyFont="1" applyFill="1" applyBorder="1" applyAlignment="1">
      <alignment horizontal="center" vertical="center" wrapText="1"/>
    </xf>
    <xf numFmtId="176" fontId="4" fillId="2" borderId="38" xfId="3" applyNumberFormat="1" applyFont="1" applyFill="1" applyBorder="1" applyAlignment="1">
      <alignment horizontal="center" vertical="distributed" wrapText="1"/>
    </xf>
    <xf numFmtId="0" fontId="4" fillId="2" borderId="38" xfId="3" applyFont="1" applyFill="1" applyBorder="1" applyAlignment="1">
      <alignment horizontal="center" vertical="center" wrapText="1"/>
    </xf>
    <xf numFmtId="174" fontId="4" fillId="2" borderId="37" xfId="3" applyNumberFormat="1" applyFont="1" applyFill="1" applyBorder="1" applyAlignment="1">
      <alignment horizontal="center" vertical="center" wrapText="1"/>
    </xf>
    <xf numFmtId="0" fontId="4" fillId="0" borderId="26" xfId="3" applyFont="1" applyBorder="1" applyAlignment="1">
      <alignment horizontal="left" vertical="distributed" wrapText="1"/>
    </xf>
    <xf numFmtId="176" fontId="4" fillId="2" borderId="12" xfId="3" applyNumberFormat="1" applyFont="1" applyFill="1" applyBorder="1" applyAlignment="1">
      <alignment horizontal="center" vertical="center" wrapText="1"/>
    </xf>
    <xf numFmtId="176" fontId="4" fillId="2" borderId="12" xfId="3" applyNumberFormat="1" applyFont="1" applyFill="1" applyBorder="1" applyAlignment="1">
      <alignment horizontal="center" vertical="distributed" wrapText="1"/>
    </xf>
    <xf numFmtId="174" fontId="4" fillId="2" borderId="11" xfId="3" applyNumberFormat="1" applyFont="1" applyFill="1" applyBorder="1" applyAlignment="1">
      <alignment horizontal="center" vertical="center" wrapText="1"/>
    </xf>
    <xf numFmtId="1" fontId="47" fillId="2" borderId="7" xfId="3" applyNumberFormat="1" applyFont="1" applyFill="1" applyBorder="1" applyAlignment="1">
      <alignment horizontal="center" vertical="center" wrapText="1"/>
    </xf>
    <xf numFmtId="1" fontId="41" fillId="0" borderId="7" xfId="3" applyNumberFormat="1" applyFont="1" applyBorder="1" applyAlignment="1">
      <alignment horizontal="left" vertical="center" wrapText="1"/>
    </xf>
    <xf numFmtId="2" fontId="41" fillId="2" borderId="8" xfId="3" applyNumberFormat="1" applyFont="1" applyFill="1" applyBorder="1" applyAlignment="1">
      <alignment horizontal="center" vertical="center" wrapText="1"/>
    </xf>
    <xf numFmtId="2" fontId="41" fillId="2" borderId="9" xfId="3" applyNumberFormat="1" applyFont="1" applyFill="1" applyBorder="1" applyAlignment="1">
      <alignment horizontal="center" vertical="center" wrapText="1"/>
    </xf>
    <xf numFmtId="2" fontId="41" fillId="2" borderId="10" xfId="3" applyNumberFormat="1" applyFont="1" applyFill="1" applyBorder="1" applyAlignment="1">
      <alignment horizontal="center" vertical="center" wrapText="1"/>
    </xf>
    <xf numFmtId="2" fontId="41" fillId="2" borderId="7" xfId="3" applyNumberFormat="1" applyFont="1" applyFill="1" applyBorder="1" applyAlignment="1">
      <alignment horizontal="center" vertical="center" wrapText="1"/>
    </xf>
    <xf numFmtId="2" fontId="41" fillId="0" borderId="7" xfId="3" applyNumberFormat="1" applyFont="1" applyBorder="1" applyAlignment="1">
      <alignment horizontal="center" vertical="center" wrapText="1"/>
    </xf>
    <xf numFmtId="0" fontId="41" fillId="2" borderId="7" xfId="3" applyFont="1" applyFill="1" applyBorder="1" applyAlignment="1">
      <alignment horizontal="center" vertical="center" wrapText="1"/>
    </xf>
    <xf numFmtId="174" fontId="41" fillId="2" borderId="7" xfId="3" applyNumberFormat="1" applyFont="1" applyFill="1" applyBorder="1" applyAlignment="1">
      <alignment horizontal="center" vertical="center" wrapText="1"/>
    </xf>
    <xf numFmtId="0" fontId="41" fillId="2" borderId="7" xfId="3" applyFont="1" applyFill="1" applyBorder="1" applyAlignment="1">
      <alignment horizontal="center" vertical="top" wrapText="1"/>
    </xf>
    <xf numFmtId="165" fontId="41" fillId="2" borderId="7" xfId="3" applyNumberFormat="1" applyFont="1" applyFill="1" applyBorder="1" applyAlignment="1">
      <alignment horizontal="right" vertical="center" wrapText="1"/>
    </xf>
    <xf numFmtId="171" fontId="41" fillId="2" borderId="7" xfId="3" applyNumberFormat="1" applyFont="1" applyFill="1" applyBorder="1" applyAlignment="1">
      <alignment horizontal="center" vertical="center" wrapText="1"/>
    </xf>
    <xf numFmtId="0" fontId="41" fillId="2" borderId="7" xfId="3" applyFont="1" applyFill="1" applyBorder="1" applyAlignment="1">
      <alignment horizontal="left" vertical="distributed" wrapText="1"/>
    </xf>
    <xf numFmtId="1" fontId="3" fillId="2" borderId="7" xfId="3" applyNumberFormat="1" applyFont="1" applyFill="1" applyBorder="1" applyAlignment="1">
      <alignment horizontal="center" vertical="center" wrapText="1"/>
    </xf>
    <xf numFmtId="1" fontId="4" fillId="0" borderId="7" xfId="3" applyNumberFormat="1" applyFont="1" applyBorder="1" applyAlignment="1">
      <alignment horizontal="left" vertical="center" wrapText="1"/>
    </xf>
    <xf numFmtId="2" fontId="4" fillId="0" borderId="8" xfId="3" applyNumberFormat="1" applyFont="1" applyBorder="1" applyAlignment="1">
      <alignment horizontal="center" vertical="center" wrapText="1"/>
    </xf>
    <xf numFmtId="0" fontId="4" fillId="0" borderId="9" xfId="3" applyFont="1" applyBorder="1" applyAlignment="1">
      <alignment horizontal="center" vertical="center" wrapText="1"/>
    </xf>
    <xf numFmtId="0" fontId="4" fillId="0" borderId="10" xfId="3" applyFont="1" applyBorder="1" applyAlignment="1">
      <alignment horizontal="center" vertical="center" wrapText="1"/>
    </xf>
    <xf numFmtId="2" fontId="4" fillId="0" borderId="8" xfId="3" applyNumberFormat="1" applyFont="1" applyBorder="1" applyAlignment="1">
      <alignment horizontal="center" vertical="distributed" wrapText="1"/>
    </xf>
    <xf numFmtId="0" fontId="4" fillId="0" borderId="9" xfId="3" applyFont="1" applyBorder="1" applyAlignment="1">
      <alignment horizontal="center" vertical="distributed" wrapText="1"/>
    </xf>
    <xf numFmtId="2" fontId="4" fillId="0" borderId="10" xfId="3" applyNumberFormat="1" applyFont="1" applyBorder="1" applyAlignment="1">
      <alignment horizontal="center" vertical="distributed" wrapText="1"/>
    </xf>
    <xf numFmtId="0" fontId="4" fillId="0" borderId="7" xfId="3" applyFont="1" applyBorder="1" applyAlignment="1">
      <alignment horizontal="center" vertical="center" wrapText="1"/>
    </xf>
    <xf numFmtId="2" fontId="4" fillId="0" borderId="7" xfId="3" applyNumberFormat="1" applyFont="1" applyBorder="1" applyAlignment="1">
      <alignment horizontal="center" vertical="center" wrapText="1"/>
    </xf>
    <xf numFmtId="174" fontId="4" fillId="0" borderId="7" xfId="3" applyNumberFormat="1" applyFont="1" applyBorder="1" applyAlignment="1">
      <alignment horizontal="center" vertical="center" wrapText="1"/>
    </xf>
    <xf numFmtId="0" fontId="4" fillId="0" borderId="7" xfId="3" applyFont="1" applyBorder="1" applyAlignment="1">
      <alignment horizontal="center" vertical="top" wrapText="1"/>
    </xf>
    <xf numFmtId="9" fontId="4" fillId="0" borderId="7" xfId="2" applyFont="1" applyBorder="1" applyAlignment="1">
      <alignment horizontal="center" vertical="center" wrapText="1"/>
    </xf>
    <xf numFmtId="165" fontId="4" fillId="0" borderId="7" xfId="3" applyNumberFormat="1" applyFont="1" applyBorder="1" applyAlignment="1">
      <alignment horizontal="right" vertical="center" wrapText="1"/>
    </xf>
    <xf numFmtId="171" fontId="4" fillId="0" borderId="7" xfId="3" applyNumberFormat="1" applyFont="1" applyBorder="1" applyAlignment="1">
      <alignment horizontal="center" vertical="center" wrapText="1"/>
    </xf>
    <xf numFmtId="0" fontId="4" fillId="0" borderId="7" xfId="3" applyFont="1" applyBorder="1" applyAlignment="1">
      <alignment horizontal="justify" vertical="distributed" wrapText="1"/>
    </xf>
    <xf numFmtId="49" fontId="4" fillId="0" borderId="21" xfId="12" applyNumberFormat="1" applyFont="1" applyBorder="1" applyAlignment="1">
      <alignment horizontal="center" vertical="center" wrapText="1"/>
    </xf>
    <xf numFmtId="10" fontId="4" fillId="2" borderId="21" xfId="2" applyNumberFormat="1" applyFont="1" applyFill="1" applyBorder="1" applyAlignment="1">
      <alignment horizontal="center" vertical="center" wrapText="1"/>
    </xf>
    <xf numFmtId="0" fontId="4" fillId="2" borderId="34" xfId="3" applyFont="1" applyFill="1" applyBorder="1" applyAlignment="1">
      <alignment horizontal="center" vertical="center" wrapText="1"/>
    </xf>
    <xf numFmtId="2" fontId="4" fillId="2" borderId="34" xfId="3" applyNumberFormat="1" applyFont="1" applyFill="1" applyBorder="1" applyAlignment="1">
      <alignment horizontal="center" vertical="center" wrapText="1"/>
    </xf>
    <xf numFmtId="43" fontId="4" fillId="2" borderId="34" xfId="1" applyFont="1" applyFill="1" applyBorder="1" applyAlignment="1">
      <alignment horizontal="center" vertical="center" wrapText="1"/>
    </xf>
    <xf numFmtId="10" fontId="4" fillId="2" borderId="26" xfId="2" applyNumberFormat="1" applyFont="1" applyFill="1" applyBorder="1" applyAlignment="1">
      <alignment horizontal="center" vertical="center" wrapText="1"/>
    </xf>
    <xf numFmtId="172" fontId="4" fillId="0" borderId="34" xfId="1" applyNumberFormat="1" applyFont="1" applyFill="1" applyBorder="1" applyAlignment="1">
      <alignment horizontal="right" vertical="distributed" wrapText="1"/>
    </xf>
    <xf numFmtId="171" fontId="4" fillId="2" borderId="34" xfId="3" applyNumberFormat="1" applyFont="1" applyFill="1" applyBorder="1" applyAlignment="1">
      <alignment horizontal="center" vertical="center" wrapText="1"/>
    </xf>
    <xf numFmtId="0" fontId="4" fillId="2" borderId="26" xfId="3" applyFont="1" applyFill="1" applyBorder="1" applyAlignment="1">
      <alignment horizontal="left" vertical="center" wrapText="1"/>
    </xf>
    <xf numFmtId="10" fontId="4" fillId="0" borderId="21" xfId="2" applyNumberFormat="1" applyFont="1" applyBorder="1" applyAlignment="1">
      <alignment horizontal="center" vertical="center" wrapText="1"/>
    </xf>
    <xf numFmtId="0" fontId="4" fillId="0" borderId="21" xfId="3" applyFont="1" applyBorder="1" applyAlignment="1">
      <alignment horizontal="justify" vertical="distributed" wrapText="1"/>
    </xf>
    <xf numFmtId="2" fontId="4" fillId="2" borderId="38" xfId="3" applyNumberFormat="1" applyFont="1" applyFill="1" applyBorder="1" applyAlignment="1">
      <alignment horizontal="center" vertical="center" wrapText="1"/>
    </xf>
    <xf numFmtId="4" fontId="4" fillId="2" borderId="26" xfId="3" applyNumberFormat="1" applyFont="1" applyFill="1" applyBorder="1" applyAlignment="1">
      <alignment horizontal="right" vertical="center" wrapText="1"/>
    </xf>
    <xf numFmtId="4" fontId="4" fillId="0" borderId="21" xfId="3" applyNumberFormat="1" applyFont="1" applyBorder="1" applyAlignment="1">
      <alignment horizontal="right" vertical="center" wrapText="1"/>
    </xf>
    <xf numFmtId="0" fontId="41" fillId="2" borderId="0" xfId="12" applyFont="1" applyFill="1" applyAlignment="1">
      <alignment horizontal="left" vertical="center" wrapText="1"/>
    </xf>
    <xf numFmtId="2" fontId="35" fillId="0" borderId="0" xfId="3" applyNumberFormat="1" applyFont="1" applyAlignment="1">
      <alignment vertical="center"/>
    </xf>
    <xf numFmtId="2" fontId="35" fillId="0" borderId="0" xfId="3" applyNumberFormat="1" applyFont="1" applyAlignment="1">
      <alignment horizontal="center" vertical="center"/>
    </xf>
    <xf numFmtId="1" fontId="16" fillId="4" borderId="11" xfId="7" applyNumberFormat="1" applyFont="1" applyFill="1" applyBorder="1" applyAlignment="1">
      <alignment vertical="center"/>
    </xf>
    <xf numFmtId="0" fontId="16" fillId="4" borderId="12" xfId="7" applyFont="1" applyFill="1" applyBorder="1" applyAlignment="1">
      <alignment vertical="center"/>
    </xf>
    <xf numFmtId="4" fontId="20" fillId="0" borderId="2" xfId="0" applyNumberFormat="1" applyFont="1" applyBorder="1" applyAlignment="1">
      <alignment horizontal="center" vertical="center"/>
    </xf>
    <xf numFmtId="4" fontId="20" fillId="0" borderId="3" xfId="0" applyNumberFormat="1" applyFont="1" applyBorder="1" applyAlignment="1">
      <alignment horizontal="center" vertical="center"/>
    </xf>
    <xf numFmtId="0" fontId="22" fillId="0" borderId="21" xfId="3" applyFont="1" applyBorder="1"/>
    <xf numFmtId="0" fontId="23" fillId="0" borderId="23" xfId="3" applyFont="1" applyBorder="1"/>
    <xf numFmtId="1" fontId="47" fillId="0" borderId="26" xfId="3" applyNumberFormat="1" applyFont="1" applyBorder="1" applyAlignment="1">
      <alignment horizontal="center" vertical="center" wrapText="1"/>
    </xf>
    <xf numFmtId="1" fontId="41" fillId="0" borderId="37" xfId="3" applyNumberFormat="1" applyFont="1" applyBorder="1" applyAlignment="1">
      <alignment horizontal="center" vertical="center" wrapText="1"/>
    </xf>
    <xf numFmtId="0" fontId="41" fillId="0" borderId="38" xfId="3" applyFont="1" applyBorder="1" applyAlignment="1">
      <alignment horizontal="center" vertical="distributed" wrapText="1"/>
    </xf>
    <xf numFmtId="0" fontId="41" fillId="0" borderId="39" xfId="3" applyFont="1" applyBorder="1" applyAlignment="1">
      <alignment horizontal="center" vertical="center" wrapText="1"/>
    </xf>
    <xf numFmtId="0" fontId="41" fillId="0" borderId="37" xfId="3" applyFont="1" applyBorder="1" applyAlignment="1">
      <alignment horizontal="center" vertical="center" wrapText="1"/>
    </xf>
    <xf numFmtId="0" fontId="41" fillId="0" borderId="39" xfId="3" applyFont="1" applyBorder="1" applyAlignment="1">
      <alignment horizontal="left" vertical="center"/>
    </xf>
    <xf numFmtId="1" fontId="4" fillId="0" borderId="2" xfId="3" applyNumberFormat="1" applyFont="1" applyBorder="1" applyAlignment="1">
      <alignment horizontal="left" vertical="top" wrapText="1"/>
    </xf>
    <xf numFmtId="171" fontId="4" fillId="0" borderId="2" xfId="3" applyNumberFormat="1" applyFont="1" applyBorder="1" applyAlignment="1">
      <alignment horizontal="center" vertical="center" wrapText="1"/>
    </xf>
    <xf numFmtId="0" fontId="4" fillId="0" borderId="3" xfId="3" applyFont="1" applyBorder="1" applyAlignment="1">
      <alignment horizontal="center" vertical="center"/>
    </xf>
    <xf numFmtId="0" fontId="52" fillId="0" borderId="16" xfId="3" applyFont="1" applyBorder="1"/>
    <xf numFmtId="0" fontId="24" fillId="0" borderId="6" xfId="0" applyFont="1" applyBorder="1" applyAlignment="1">
      <alignment horizontal="center" vertical="center"/>
    </xf>
    <xf numFmtId="0" fontId="24" fillId="2" borderId="18" xfId="0" applyFont="1" applyFill="1" applyBorder="1" applyAlignment="1">
      <alignment vertical="center"/>
    </xf>
    <xf numFmtId="1" fontId="24" fillId="2" borderId="18" xfId="0" applyNumberFormat="1" applyFont="1" applyFill="1" applyBorder="1" applyAlignment="1">
      <alignment horizontal="right" vertical="center"/>
    </xf>
    <xf numFmtId="0" fontId="24" fillId="2" borderId="18" xfId="0" applyFont="1" applyFill="1" applyBorder="1" applyAlignment="1">
      <alignment horizontal="center" vertical="center"/>
    </xf>
    <xf numFmtId="2" fontId="24" fillId="2" borderId="18" xfId="0" applyNumberFormat="1" applyFont="1" applyFill="1" applyBorder="1" applyAlignment="1">
      <alignment horizontal="left" vertical="center"/>
    </xf>
    <xf numFmtId="4" fontId="24" fillId="2" borderId="18" xfId="0" applyNumberFormat="1" applyFont="1" applyFill="1" applyBorder="1" applyAlignment="1">
      <alignment vertical="center"/>
    </xf>
    <xf numFmtId="165" fontId="24" fillId="2" borderId="18" xfId="0" applyNumberFormat="1" applyFont="1" applyFill="1" applyBorder="1" applyAlignment="1">
      <alignment vertical="center"/>
    </xf>
    <xf numFmtId="0" fontId="24" fillId="2" borderId="18" xfId="14" applyNumberFormat="1" applyFont="1" applyFill="1" applyBorder="1" applyAlignment="1">
      <alignment vertical="center"/>
    </xf>
    <xf numFmtId="0" fontId="49" fillId="2" borderId="18" xfId="15" applyNumberFormat="1" applyFont="1" applyFill="1" applyBorder="1" applyAlignment="1">
      <alignment vertical="center"/>
    </xf>
    <xf numFmtId="0" fontId="24" fillId="2" borderId="18" xfId="0" applyFont="1" applyFill="1" applyBorder="1" applyAlignment="1">
      <alignment horizontal="right" vertical="center"/>
    </xf>
    <xf numFmtId="0" fontId="24" fillId="2" borderId="19" xfId="0" applyFont="1" applyFill="1" applyBorder="1" applyAlignment="1">
      <alignment horizontal="center" vertical="center"/>
    </xf>
    <xf numFmtId="0" fontId="67" fillId="0" borderId="60" xfId="0" applyFont="1" applyBorder="1" applyAlignment="1">
      <alignment horizontal="left"/>
    </xf>
    <xf numFmtId="0" fontId="54" fillId="0" borderId="1" xfId="0" applyFont="1" applyBorder="1"/>
    <xf numFmtId="0" fontId="55" fillId="3" borderId="0" xfId="0" applyFont="1" applyFill="1" applyAlignment="1">
      <alignment horizontal="center"/>
    </xf>
    <xf numFmtId="0" fontId="0" fillId="0" borderId="83" xfId="0" applyBorder="1"/>
    <xf numFmtId="0" fontId="56" fillId="3" borderId="0" xfId="0" applyFont="1" applyFill="1" applyAlignment="1">
      <alignment horizontal="center"/>
    </xf>
    <xf numFmtId="0" fontId="54" fillId="0" borderId="85" xfId="0" applyFont="1" applyBorder="1"/>
    <xf numFmtId="0" fontId="54" fillId="0" borderId="0" xfId="0" applyFont="1" applyAlignment="1">
      <alignment horizontal="center"/>
    </xf>
    <xf numFmtId="0" fontId="54" fillId="3" borderId="0" xfId="0" applyFont="1" applyFill="1" applyAlignment="1">
      <alignment horizontal="center"/>
    </xf>
    <xf numFmtId="0" fontId="54" fillId="0" borderId="83" xfId="0" applyFont="1" applyBorder="1" applyAlignment="1">
      <alignment horizontal="center"/>
    </xf>
    <xf numFmtId="0" fontId="54" fillId="0" borderId="3" xfId="0" applyFont="1" applyBorder="1" applyAlignment="1">
      <alignment horizontal="center"/>
    </xf>
    <xf numFmtId="0" fontId="59" fillId="0" borderId="6" xfId="0" applyFont="1" applyBorder="1" applyAlignment="1">
      <alignment horizontal="center" vertical="center"/>
    </xf>
    <xf numFmtId="0" fontId="59" fillId="0" borderId="19" xfId="0" applyFont="1" applyBorder="1" applyAlignment="1">
      <alignment horizontal="center" vertical="center"/>
    </xf>
    <xf numFmtId="0" fontId="62" fillId="0" borderId="8" xfId="0" applyFont="1" applyBorder="1"/>
    <xf numFmtId="0" fontId="62" fillId="3" borderId="10" xfId="0" applyFont="1" applyFill="1" applyBorder="1"/>
    <xf numFmtId="0" fontId="67" fillId="0" borderId="110" xfId="0" applyFont="1" applyBorder="1" applyAlignment="1">
      <alignment horizontal="left" vertical="top"/>
    </xf>
    <xf numFmtId="0" fontId="54" fillId="0" borderId="88" xfId="0" applyFont="1" applyBorder="1"/>
    <xf numFmtId="0" fontId="56" fillId="0" borderId="83" xfId="0" applyFont="1" applyBorder="1" applyAlignment="1">
      <alignment horizontal="left" vertical="center" wrapText="1" indent="1"/>
    </xf>
    <xf numFmtId="0" fontId="67" fillId="0" borderId="115" xfId="0" applyFont="1" applyBorder="1" applyAlignment="1">
      <alignment horizontal="left" vertical="top"/>
    </xf>
    <xf numFmtId="0" fontId="6" fillId="2" borderId="0" xfId="3" applyFont="1" applyFill="1" applyAlignment="1">
      <alignment horizontal="center" vertical="center" wrapText="1"/>
    </xf>
    <xf numFmtId="164" fontId="3" fillId="4" borderId="8" xfId="4" applyNumberFormat="1" applyFont="1" applyFill="1" applyBorder="1" applyAlignment="1">
      <alignment horizontal="center" vertical="center" wrapText="1"/>
    </xf>
    <xf numFmtId="164" fontId="3" fillId="4" borderId="9" xfId="4" applyNumberFormat="1" applyFont="1" applyFill="1" applyBorder="1" applyAlignment="1">
      <alignment horizontal="center" vertical="center" wrapText="1"/>
    </xf>
    <xf numFmtId="164" fontId="3" fillId="4" borderId="10" xfId="4" applyNumberFormat="1" applyFont="1" applyFill="1" applyBorder="1" applyAlignment="1">
      <alignment horizontal="center" vertical="center" wrapText="1"/>
    </xf>
    <xf numFmtId="1" fontId="13" fillId="4" borderId="12" xfId="5" applyNumberFormat="1" applyFont="1" applyFill="1" applyBorder="1" applyAlignment="1">
      <alignment vertical="top" wrapText="1"/>
    </xf>
    <xf numFmtId="1" fontId="13" fillId="4" borderId="13" xfId="5" applyNumberFormat="1" applyFont="1" applyFill="1" applyBorder="1" applyAlignment="1">
      <alignment vertical="top" wrapText="1"/>
    </xf>
    <xf numFmtId="1" fontId="13" fillId="4" borderId="15" xfId="5" applyNumberFormat="1" applyFont="1" applyFill="1" applyBorder="1" applyAlignment="1">
      <alignment vertical="top" wrapText="1"/>
    </xf>
    <xf numFmtId="1" fontId="13" fillId="4" borderId="16" xfId="5" applyNumberFormat="1" applyFont="1" applyFill="1" applyBorder="1" applyAlignment="1">
      <alignment vertical="top" wrapText="1"/>
    </xf>
    <xf numFmtId="1" fontId="13" fillId="4" borderId="9" xfId="5" applyNumberFormat="1" applyFont="1" applyFill="1" applyBorder="1" applyAlignment="1">
      <alignment vertical="top" wrapText="1"/>
    </xf>
    <xf numFmtId="1" fontId="13" fillId="4" borderId="10" xfId="5" applyNumberFormat="1" applyFont="1" applyFill="1" applyBorder="1" applyAlignment="1">
      <alignment vertical="top" wrapText="1"/>
    </xf>
    <xf numFmtId="0" fontId="67" fillId="0" borderId="58" xfId="0" applyFont="1" applyBorder="1" applyAlignment="1">
      <alignment horizontal="center" vertical="top"/>
    </xf>
    <xf numFmtId="0" fontId="67" fillId="0" borderId="58" xfId="0" applyFont="1" applyBorder="1" applyAlignment="1">
      <alignment horizontal="center" vertical="top" wrapText="1"/>
    </xf>
    <xf numFmtId="0" fontId="67" fillId="0" borderId="111" xfId="0" applyFont="1" applyBorder="1" applyAlignment="1">
      <alignment horizontal="center" vertical="top" wrapText="1"/>
    </xf>
    <xf numFmtId="2" fontId="54" fillId="0" borderId="112" xfId="0" applyNumberFormat="1" applyFont="1" applyBorder="1" applyAlignment="1">
      <alignment horizontal="center" vertical="center"/>
    </xf>
    <xf numFmtId="0" fontId="54" fillId="0" borderId="112" xfId="0" applyFont="1" applyBorder="1" applyAlignment="1">
      <alignment horizontal="center" vertical="center"/>
    </xf>
    <xf numFmtId="0" fontId="54" fillId="0" borderId="116" xfId="0" applyFont="1" applyBorder="1" applyAlignment="1">
      <alignment horizontal="center" vertical="center"/>
    </xf>
    <xf numFmtId="0" fontId="82" fillId="0" borderId="64" xfId="0" applyFont="1" applyBorder="1" applyAlignment="1">
      <alignment horizontal="center"/>
    </xf>
    <xf numFmtId="0" fontId="82" fillId="0" borderId="65" xfId="0" applyFont="1" applyBorder="1" applyAlignment="1">
      <alignment horizontal="center"/>
    </xf>
    <xf numFmtId="0" fontId="82" fillId="0" borderId="66" xfId="0" applyFont="1" applyBorder="1" applyAlignment="1">
      <alignment horizontal="center"/>
    </xf>
    <xf numFmtId="0" fontId="83" fillId="0" borderId="64" xfId="0" applyFont="1" applyBorder="1" applyAlignment="1">
      <alignment horizontal="center"/>
    </xf>
    <xf numFmtId="0" fontId="83" fillId="0" borderId="65" xfId="0" applyFont="1" applyBorder="1" applyAlignment="1">
      <alignment horizontal="center"/>
    </xf>
    <xf numFmtId="0" fontId="83" fillId="0" borderId="114" xfId="0" applyFont="1" applyBorder="1" applyAlignment="1">
      <alignment horizontal="center"/>
    </xf>
    <xf numFmtId="0" fontId="80" fillId="0" borderId="64" xfId="0" applyFont="1" applyBorder="1" applyAlignment="1">
      <alignment horizontal="center"/>
    </xf>
    <xf numFmtId="0" fontId="80" fillId="0" borderId="65" xfId="0" applyFont="1" applyBorder="1" applyAlignment="1">
      <alignment horizontal="center"/>
    </xf>
    <xf numFmtId="0" fontId="80" fillId="0" borderId="66" xfId="0" applyFont="1" applyBorder="1" applyAlignment="1">
      <alignment horizontal="center"/>
    </xf>
    <xf numFmtId="0" fontId="80" fillId="0" borderId="114" xfId="0" applyFont="1" applyBorder="1" applyAlignment="1">
      <alignment horizontal="center"/>
    </xf>
    <xf numFmtId="0" fontId="82" fillId="0" borderId="114" xfId="0" applyFont="1" applyBorder="1" applyAlignment="1">
      <alignment horizontal="center"/>
    </xf>
    <xf numFmtId="0" fontId="67" fillId="0" borderId="58" xfId="0" applyFont="1" applyBorder="1" applyAlignment="1">
      <alignment horizontal="left" vertical="top" wrapText="1"/>
    </xf>
    <xf numFmtId="0" fontId="67" fillId="0" borderId="111" xfId="0" applyFont="1" applyBorder="1" applyAlignment="1">
      <alignment horizontal="left" vertical="top" wrapText="1"/>
    </xf>
    <xf numFmtId="0" fontId="61" fillId="0" borderId="8" xfId="0" applyFont="1" applyBorder="1" applyAlignment="1">
      <alignment horizontal="center" vertical="center"/>
    </xf>
    <xf numFmtId="0" fontId="61" fillId="0" borderId="9" xfId="0" applyFont="1" applyBorder="1" applyAlignment="1">
      <alignment horizontal="center" vertical="center"/>
    </xf>
    <xf numFmtId="0" fontId="61" fillId="0" borderId="10" xfId="0" applyFont="1" applyBorder="1" applyAlignment="1">
      <alignment horizontal="center" vertical="center"/>
    </xf>
    <xf numFmtId="177" fontId="61" fillId="3" borderId="8" xfId="0" applyNumberFormat="1" applyFont="1" applyFill="1" applyBorder="1" applyAlignment="1">
      <alignment horizontal="center" vertical="center"/>
    </xf>
    <xf numFmtId="14" fontId="61" fillId="3" borderId="9" xfId="0" applyNumberFormat="1" applyFont="1" applyFill="1" applyBorder="1" applyAlignment="1">
      <alignment horizontal="center" vertical="center"/>
    </xf>
    <xf numFmtId="0" fontId="61" fillId="3" borderId="10" xfId="0" applyFont="1" applyFill="1" applyBorder="1" applyAlignment="1">
      <alignment horizontal="center" vertical="center"/>
    </xf>
    <xf numFmtId="0" fontId="61" fillId="3" borderId="8" xfId="0" applyFont="1" applyFill="1" applyBorder="1" applyAlignment="1">
      <alignment horizontal="center" vertical="center"/>
    </xf>
    <xf numFmtId="0" fontId="61" fillId="3" borderId="9" xfId="0" applyFont="1" applyFill="1" applyBorder="1" applyAlignment="1">
      <alignment horizontal="center" vertical="center"/>
    </xf>
    <xf numFmtId="0" fontId="56" fillId="0" borderId="1" xfId="0" applyFont="1" applyBorder="1" applyAlignment="1">
      <alignment horizontal="left" vertical="center"/>
    </xf>
    <xf numFmtId="0" fontId="56" fillId="0" borderId="3" xfId="0" applyFont="1" applyBorder="1" applyAlignment="1">
      <alignment horizontal="left" vertical="center"/>
    </xf>
    <xf numFmtId="0" fontId="63" fillId="3" borderId="1" xfId="0" applyFont="1" applyFill="1" applyBorder="1" applyAlignment="1">
      <alignment horizontal="left" vertical="center"/>
    </xf>
    <xf numFmtId="0" fontId="63" fillId="3" borderId="3" xfId="0" applyFont="1" applyFill="1" applyBorder="1" applyAlignment="1">
      <alignment horizontal="left" vertical="center"/>
    </xf>
    <xf numFmtId="0" fontId="63" fillId="3" borderId="1" xfId="0" applyFont="1" applyFill="1" applyBorder="1" applyAlignment="1">
      <alignment horizontal="center" vertical="center"/>
    </xf>
    <xf numFmtId="0" fontId="63" fillId="3" borderId="2" xfId="0" applyFont="1" applyFill="1" applyBorder="1" applyAlignment="1">
      <alignment horizontal="center" vertical="center"/>
    </xf>
    <xf numFmtId="0" fontId="63" fillId="3" borderId="3" xfId="0" applyFont="1" applyFill="1" applyBorder="1" applyAlignment="1">
      <alignment horizontal="center" vertical="center"/>
    </xf>
    <xf numFmtId="178" fontId="65" fillId="3" borderId="2" xfId="0" applyNumberFormat="1" applyFont="1" applyFill="1" applyBorder="1" applyAlignment="1">
      <alignment horizontal="center" vertical="center"/>
    </xf>
    <xf numFmtId="178" fontId="65" fillId="3" borderId="3" xfId="0" applyNumberFormat="1" applyFont="1" applyFill="1" applyBorder="1" applyAlignment="1">
      <alignment horizontal="center" vertical="center"/>
    </xf>
    <xf numFmtId="1" fontId="64" fillId="3" borderId="1" xfId="0" applyNumberFormat="1" applyFont="1" applyFill="1" applyBorder="1" applyAlignment="1">
      <alignment horizontal="center" vertical="center"/>
    </xf>
    <xf numFmtId="0" fontId="13" fillId="0" borderId="3" xfId="0" applyFont="1" applyBorder="1"/>
    <xf numFmtId="17" fontId="68" fillId="0" borderId="6" xfId="0" applyNumberFormat="1" applyFont="1" applyBorder="1" applyAlignment="1">
      <alignment horizontal="center" vertical="center"/>
    </xf>
    <xf numFmtId="17" fontId="68" fillId="0" borderId="19" xfId="0" applyNumberFormat="1" applyFont="1" applyBorder="1" applyAlignment="1">
      <alignment horizontal="center" vertical="center"/>
    </xf>
    <xf numFmtId="179" fontId="66" fillId="3" borderId="6" xfId="0" applyNumberFormat="1" applyFont="1" applyFill="1" applyBorder="1" applyAlignment="1">
      <alignment horizontal="center" vertical="center"/>
    </xf>
    <xf numFmtId="179" fontId="66" fillId="3" borderId="19" xfId="0" applyNumberFormat="1" applyFont="1" applyFill="1" applyBorder="1" applyAlignment="1">
      <alignment horizontal="center" vertical="center"/>
    </xf>
    <xf numFmtId="0" fontId="66" fillId="3" borderId="6" xfId="0" applyFont="1" applyFill="1" applyBorder="1" applyAlignment="1">
      <alignment horizontal="center" vertical="center"/>
    </xf>
    <xf numFmtId="0" fontId="66" fillId="3" borderId="18" xfId="0" applyFont="1" applyFill="1" applyBorder="1" applyAlignment="1">
      <alignment horizontal="center" vertical="center"/>
    </xf>
    <xf numFmtId="0" fontId="66" fillId="3" borderId="19" xfId="0" applyFont="1" applyFill="1" applyBorder="1" applyAlignment="1">
      <alignment horizontal="center" vertical="center"/>
    </xf>
    <xf numFmtId="178" fontId="65" fillId="3" borderId="18" xfId="0" applyNumberFormat="1" applyFont="1" applyFill="1" applyBorder="1" applyAlignment="1">
      <alignment horizontal="center" vertical="center"/>
    </xf>
    <xf numFmtId="178" fontId="65" fillId="3" borderId="19" xfId="0" applyNumberFormat="1" applyFont="1" applyFill="1" applyBorder="1" applyAlignment="1">
      <alignment horizontal="center" vertical="center"/>
    </xf>
    <xf numFmtId="178" fontId="65" fillId="3" borderId="6" xfId="0" applyNumberFormat="1" applyFont="1" applyFill="1" applyBorder="1" applyAlignment="1">
      <alignment horizontal="center" vertical="center"/>
    </xf>
    <xf numFmtId="0" fontId="54" fillId="0" borderId="1" xfId="0" applyFont="1" applyBorder="1"/>
    <xf numFmtId="0" fontId="0" fillId="0" borderId="2" xfId="0" applyBorder="1"/>
    <xf numFmtId="0" fontId="0" fillId="0" borderId="85" xfId="0" applyBorder="1"/>
    <xf numFmtId="0" fontId="0" fillId="0" borderId="0" xfId="0"/>
    <xf numFmtId="0" fontId="54" fillId="0" borderId="2" xfId="0" applyFont="1" applyBorder="1"/>
    <xf numFmtId="0" fontId="0" fillId="0" borderId="3" xfId="0" applyBorder="1"/>
    <xf numFmtId="0" fontId="0" fillId="0" borderId="83" xfId="0" applyBorder="1"/>
    <xf numFmtId="0" fontId="54" fillId="0" borderId="108" xfId="0" applyFont="1" applyBorder="1"/>
    <xf numFmtId="0" fontId="0" fillId="0" borderId="55" xfId="0" applyBorder="1"/>
    <xf numFmtId="0" fontId="54" fillId="0" borderId="55" xfId="0" applyFont="1" applyBorder="1" applyAlignment="1">
      <alignment horizontal="right"/>
    </xf>
    <xf numFmtId="0" fontId="54" fillId="0" borderId="109" xfId="0" applyFont="1" applyBorder="1" applyAlignment="1">
      <alignment horizontal="right"/>
    </xf>
    <xf numFmtId="0" fontId="57" fillId="0" borderId="85" xfId="0" applyFont="1" applyBorder="1" applyAlignment="1">
      <alignment horizontal="center" vertical="center"/>
    </xf>
    <xf numFmtId="0" fontId="57" fillId="0" borderId="0" xfId="0" applyFont="1" applyAlignment="1">
      <alignment horizontal="center" vertical="center"/>
    </xf>
    <xf numFmtId="0" fontId="57" fillId="0" borderId="83" xfId="0" applyFont="1" applyBorder="1" applyAlignment="1">
      <alignment horizontal="center" vertical="center"/>
    </xf>
    <xf numFmtId="0" fontId="0" fillId="0" borderId="6"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58" fillId="0" borderId="1" xfId="0" applyFont="1" applyBorder="1" applyAlignment="1">
      <alignment horizontal="center" vertical="center"/>
    </xf>
    <xf numFmtId="0" fontId="58" fillId="0" borderId="2" xfId="0" applyFont="1" applyBorder="1" applyAlignment="1">
      <alignment horizontal="center" vertical="center"/>
    </xf>
    <xf numFmtId="0" fontId="58" fillId="0" borderId="3" xfId="0" applyFont="1" applyBorder="1" applyAlignment="1">
      <alignment horizontal="center" vertical="center"/>
    </xf>
    <xf numFmtId="0" fontId="58" fillId="0" borderId="6" xfId="0" applyFont="1" applyBorder="1" applyAlignment="1">
      <alignment horizontal="center" vertical="center"/>
    </xf>
    <xf numFmtId="0" fontId="58" fillId="0" borderId="18" xfId="0" applyFont="1" applyBorder="1" applyAlignment="1">
      <alignment horizontal="center" vertical="center"/>
    </xf>
    <xf numFmtId="0" fontId="58" fillId="0" borderId="19" xfId="0" applyFont="1" applyBorder="1" applyAlignment="1">
      <alignment horizontal="center" vertical="center"/>
    </xf>
    <xf numFmtId="0" fontId="56" fillId="0" borderId="8" xfId="0" applyFont="1" applyBorder="1" applyAlignment="1">
      <alignment horizontal="center"/>
    </xf>
    <xf numFmtId="0" fontId="60" fillId="0" borderId="9" xfId="0" applyFont="1" applyBorder="1" applyAlignment="1">
      <alignment horizontal="center"/>
    </xf>
    <xf numFmtId="0" fontId="60" fillId="0" borderId="10" xfId="0" applyFont="1" applyBorder="1" applyAlignment="1">
      <alignment horizontal="center"/>
    </xf>
    <xf numFmtId="0" fontId="60" fillId="3" borderId="8" xfId="0" applyFont="1" applyFill="1" applyBorder="1" applyAlignment="1">
      <alignment horizontal="center"/>
    </xf>
    <xf numFmtId="0" fontId="60" fillId="3" borderId="9" xfId="0" applyFont="1" applyFill="1" applyBorder="1" applyAlignment="1">
      <alignment horizontal="center"/>
    </xf>
    <xf numFmtId="0" fontId="60" fillId="3" borderId="10" xfId="0" applyFont="1" applyFill="1" applyBorder="1" applyAlignment="1">
      <alignment horizontal="center"/>
    </xf>
    <xf numFmtId="0" fontId="54" fillId="0" borderId="113" xfId="0" applyFont="1" applyBorder="1" applyAlignment="1">
      <alignment horizontal="center" vertical="center"/>
    </xf>
    <xf numFmtId="0" fontId="80" fillId="0" borderId="64" xfId="0" applyFont="1" applyBorder="1" applyAlignment="1">
      <alignment horizontal="center" vertical="center"/>
    </xf>
    <xf numFmtId="0" fontId="80" fillId="0" borderId="65" xfId="0" applyFont="1" applyBorder="1" applyAlignment="1">
      <alignment horizontal="center" vertical="center"/>
    </xf>
    <xf numFmtId="0" fontId="80" fillId="0" borderId="114" xfId="0" applyFont="1" applyBorder="1" applyAlignment="1">
      <alignment horizontal="center" vertical="center"/>
    </xf>
    <xf numFmtId="0" fontId="80" fillId="0" borderId="66" xfId="0" applyFont="1" applyBorder="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vertical="center" wrapText="1"/>
    </xf>
    <xf numFmtId="0" fontId="67" fillId="0" borderId="62" xfId="0" applyFont="1" applyBorder="1" applyAlignment="1">
      <alignment horizontal="center" vertical="center" wrapText="1"/>
    </xf>
    <xf numFmtId="0" fontId="67" fillId="0" borderId="111" xfId="0" applyFont="1" applyBorder="1" applyAlignment="1">
      <alignment horizontal="center" vertical="top"/>
    </xf>
    <xf numFmtId="0" fontId="54" fillId="0" borderId="0" xfId="0" applyFont="1" applyAlignment="1">
      <alignment horizontal="center" vertical="center"/>
    </xf>
    <xf numFmtId="0" fontId="67" fillId="0" borderId="0" xfId="0" applyFont="1" applyAlignment="1">
      <alignment horizontal="center"/>
    </xf>
    <xf numFmtId="0" fontId="67" fillId="0" borderId="80" xfId="0" applyFont="1" applyBorder="1" applyAlignment="1">
      <alignment horizontal="center" vertical="top"/>
    </xf>
    <xf numFmtId="0" fontId="67" fillId="0" borderId="81" xfId="0" applyFont="1" applyBorder="1" applyAlignment="1">
      <alignment horizontal="center" vertical="top"/>
    </xf>
    <xf numFmtId="2" fontId="54" fillId="0" borderId="116" xfId="0" applyNumberFormat="1" applyFont="1" applyBorder="1" applyAlignment="1">
      <alignment horizontal="center" vertical="center"/>
    </xf>
    <xf numFmtId="2" fontId="54" fillId="0" borderId="60" xfId="0" applyNumberFormat="1" applyFont="1" applyBorder="1" applyAlignment="1">
      <alignment horizontal="center" vertical="center"/>
    </xf>
    <xf numFmtId="0" fontId="54" fillId="0" borderId="60" xfId="0" applyFont="1" applyBorder="1" applyAlignment="1">
      <alignment horizontal="center" vertical="center"/>
    </xf>
    <xf numFmtId="0" fontId="54" fillId="0" borderId="63" xfId="0" applyFont="1" applyBorder="1" applyAlignment="1">
      <alignment horizontal="center" vertical="center"/>
    </xf>
    <xf numFmtId="0" fontId="83" fillId="0" borderId="67" xfId="0" applyFont="1" applyBorder="1" applyAlignment="1">
      <alignment horizontal="center"/>
    </xf>
    <xf numFmtId="0" fontId="67" fillId="0" borderId="58" xfId="0" applyFont="1" applyBorder="1" applyAlignment="1">
      <alignment horizontal="center" vertical="center"/>
    </xf>
    <xf numFmtId="0" fontId="67" fillId="0" borderId="58" xfId="0" applyFont="1" applyBorder="1" applyAlignment="1">
      <alignment horizontal="center" vertical="center" wrapText="1"/>
    </xf>
    <xf numFmtId="0" fontId="67" fillId="0" borderId="59" xfId="0" applyFont="1" applyBorder="1" applyAlignment="1">
      <alignment horizontal="center" vertical="center" wrapText="1"/>
    </xf>
    <xf numFmtId="0" fontId="54" fillId="0" borderId="117" xfId="0" applyFont="1" applyBorder="1" applyAlignment="1">
      <alignment horizontal="center" vertical="center"/>
    </xf>
    <xf numFmtId="0" fontId="82" fillId="0" borderId="103" xfId="0" applyFont="1" applyBorder="1" applyAlignment="1">
      <alignment horizontal="center"/>
    </xf>
    <xf numFmtId="0" fontId="82" fillId="0" borderId="18" xfId="0" applyFont="1" applyBorder="1" applyAlignment="1">
      <alignment horizontal="center"/>
    </xf>
    <xf numFmtId="0" fontId="82" fillId="0" borderId="74" xfId="0" applyFont="1" applyBorder="1" applyAlignment="1">
      <alignment horizontal="center"/>
    </xf>
    <xf numFmtId="0" fontId="82" fillId="0" borderId="19" xfId="0" applyFont="1" applyBorder="1" applyAlignment="1">
      <alignment horizontal="center"/>
    </xf>
    <xf numFmtId="0" fontId="21" fillId="7" borderId="7" xfId="10" applyFont="1" applyFill="1" applyBorder="1" applyAlignment="1">
      <alignment horizontal="center" vertical="center" wrapText="1"/>
    </xf>
    <xf numFmtId="0" fontId="21" fillId="2" borderId="84" xfId="4" applyFont="1" applyFill="1" applyBorder="1" applyAlignment="1">
      <alignment horizontal="left" vertical="center"/>
    </xf>
    <xf numFmtId="0" fontId="25" fillId="4" borderId="7" xfId="4" applyFont="1" applyFill="1" applyBorder="1" applyAlignment="1">
      <alignment horizontal="center" vertical="center"/>
    </xf>
    <xf numFmtId="0" fontId="25" fillId="4" borderId="31" xfId="4" applyFont="1" applyFill="1" applyBorder="1" applyAlignment="1">
      <alignment horizontal="center" vertical="center"/>
    </xf>
    <xf numFmtId="0" fontId="17" fillId="4" borderId="7" xfId="0" applyFont="1" applyFill="1" applyBorder="1" applyAlignment="1">
      <alignment horizontal="center" vertical="center"/>
    </xf>
    <xf numFmtId="0" fontId="17" fillId="4" borderId="7" xfId="6" applyFont="1" applyFill="1" applyBorder="1" applyAlignment="1" applyProtection="1">
      <alignment horizontal="center" vertical="center"/>
      <protection locked="0"/>
    </xf>
    <xf numFmtId="4" fontId="17" fillId="4" borderId="7" xfId="6" applyNumberFormat="1" applyFont="1" applyFill="1" applyBorder="1" applyAlignment="1" applyProtection="1">
      <alignment horizontal="center" vertical="center"/>
      <protection locked="0"/>
    </xf>
    <xf numFmtId="165" fontId="50" fillId="4" borderId="7" xfId="6" applyNumberFormat="1" applyFont="1" applyFill="1" applyBorder="1" applyAlignment="1" applyProtection="1">
      <alignment horizontal="center" vertical="center"/>
      <protection locked="0"/>
    </xf>
    <xf numFmtId="167" fontId="51" fillId="4" borderId="7" xfId="3" applyNumberFormat="1" applyFont="1" applyFill="1" applyBorder="1" applyAlignment="1">
      <alignment horizontal="center" vertical="center"/>
    </xf>
    <xf numFmtId="0" fontId="69" fillId="0" borderId="95" xfId="0" applyFont="1" applyBorder="1" applyAlignment="1">
      <alignment horizontal="center"/>
    </xf>
    <xf numFmtId="0" fontId="69" fillId="0" borderId="96" xfId="0" applyFont="1" applyBorder="1" applyAlignment="1">
      <alignment horizontal="center"/>
    </xf>
    <xf numFmtId="0" fontId="13" fillId="2" borderId="31" xfId="3" applyFont="1" applyFill="1" applyBorder="1" applyAlignment="1">
      <alignment horizontal="center" vertical="center" wrapText="1"/>
    </xf>
    <xf numFmtId="0" fontId="13" fillId="2" borderId="84" xfId="3" applyFont="1" applyFill="1" applyBorder="1" applyAlignment="1">
      <alignment horizontal="center" vertical="center" wrapText="1"/>
    </xf>
    <xf numFmtId="0" fontId="13" fillId="2" borderId="34" xfId="3" applyFont="1" applyFill="1" applyBorder="1" applyAlignment="1">
      <alignment horizontal="center" vertical="center" wrapText="1"/>
    </xf>
    <xf numFmtId="0" fontId="13" fillId="4" borderId="7" xfId="3" applyFont="1" applyFill="1" applyBorder="1" applyAlignment="1">
      <alignment horizontal="center" vertical="center"/>
    </xf>
    <xf numFmtId="0" fontId="21" fillId="2" borderId="31" xfId="3" applyFont="1" applyFill="1" applyBorder="1" applyAlignment="1">
      <alignment horizontal="left" vertical="center"/>
    </xf>
    <xf numFmtId="0" fontId="22" fillId="2" borderId="31" xfId="4" applyFont="1" applyFill="1" applyBorder="1" applyAlignment="1">
      <alignment horizontal="left" vertical="center" wrapText="1"/>
    </xf>
    <xf numFmtId="0" fontId="22" fillId="2" borderId="31" xfId="4" applyFont="1" applyFill="1" applyBorder="1" applyAlignment="1">
      <alignment horizontal="left" vertical="center"/>
    </xf>
    <xf numFmtId="14" fontId="22" fillId="2" borderId="84" xfId="4" applyNumberFormat="1" applyFont="1" applyFill="1" applyBorder="1" applyAlignment="1">
      <alignment horizontal="left" vertical="center"/>
    </xf>
    <xf numFmtId="14" fontId="24" fillId="2" borderId="84" xfId="4" applyNumberFormat="1" applyFont="1" applyFill="1" applyBorder="1" applyAlignment="1">
      <alignment horizontal="left" vertical="center"/>
    </xf>
    <xf numFmtId="1" fontId="36" fillId="2" borderId="31" xfId="3" applyNumberFormat="1" applyFont="1" applyFill="1" applyBorder="1" applyAlignment="1">
      <alignment horizontal="center" vertical="center" wrapText="1"/>
    </xf>
    <xf numFmtId="1" fontId="36" fillId="2" borderId="34" xfId="3" applyNumberFormat="1" applyFont="1" applyFill="1" applyBorder="1" applyAlignment="1">
      <alignment horizontal="center" vertical="center" wrapText="1"/>
    </xf>
    <xf numFmtId="1" fontId="36" fillId="0" borderId="31" xfId="3" applyNumberFormat="1" applyFont="1" applyBorder="1" applyAlignment="1">
      <alignment horizontal="left" vertical="center" wrapText="1"/>
    </xf>
    <xf numFmtId="1" fontId="36" fillId="0" borderId="34" xfId="3" applyNumberFormat="1" applyFont="1" applyBorder="1" applyAlignment="1">
      <alignment horizontal="left" vertical="center" wrapText="1"/>
    </xf>
    <xf numFmtId="0" fontId="36" fillId="2" borderId="31" xfId="3" applyFont="1" applyFill="1" applyBorder="1" applyAlignment="1">
      <alignment horizontal="center" vertical="center" wrapText="1"/>
    </xf>
    <xf numFmtId="0" fontId="36" fillId="2" borderId="34" xfId="3" applyFont="1" applyFill="1" applyBorder="1" applyAlignment="1">
      <alignment horizontal="center" vertical="center" wrapText="1"/>
    </xf>
    <xf numFmtId="0" fontId="36" fillId="2" borderId="8" xfId="3" applyFont="1" applyFill="1" applyBorder="1" applyAlignment="1">
      <alignment horizontal="center" vertical="distributed" wrapText="1"/>
    </xf>
    <xf numFmtId="0" fontId="36" fillId="2" borderId="9" xfId="3" applyFont="1" applyFill="1" applyBorder="1" applyAlignment="1">
      <alignment horizontal="center" vertical="distributed" wrapText="1"/>
    </xf>
    <xf numFmtId="0" fontId="36" fillId="2" borderId="10" xfId="3" applyFont="1" applyFill="1" applyBorder="1" applyAlignment="1">
      <alignment horizontal="center" vertical="distributed" wrapText="1"/>
    </xf>
    <xf numFmtId="0" fontId="36" fillId="2" borderId="8" xfId="4" applyFont="1" applyFill="1" applyBorder="1" applyAlignment="1">
      <alignment horizontal="center" vertical="center" wrapText="1"/>
    </xf>
    <xf numFmtId="0" fontId="36" fillId="2" borderId="9" xfId="4" applyFont="1" applyFill="1" applyBorder="1" applyAlignment="1">
      <alignment horizontal="center" vertical="center" wrapText="1"/>
    </xf>
    <xf numFmtId="0" fontId="36" fillId="2" borderId="10" xfId="4" applyFont="1" applyFill="1" applyBorder="1" applyAlignment="1">
      <alignment horizontal="center" vertical="center" wrapText="1"/>
    </xf>
    <xf numFmtId="0" fontId="36" fillId="2" borderId="8" xfId="3" applyFont="1" applyFill="1" applyBorder="1" applyAlignment="1">
      <alignment horizontal="center" vertical="center" wrapText="1"/>
    </xf>
    <xf numFmtId="0" fontId="36" fillId="2" borderId="9" xfId="3" applyFont="1" applyFill="1" applyBorder="1" applyAlignment="1">
      <alignment horizontal="center" vertical="center" wrapText="1"/>
    </xf>
    <xf numFmtId="0" fontId="36" fillId="2" borderId="10" xfId="3" applyFont="1" applyFill="1" applyBorder="1" applyAlignment="1">
      <alignment horizontal="center" vertical="center" wrapText="1"/>
    </xf>
    <xf numFmtId="0" fontId="42" fillId="5" borderId="1" xfId="0" applyFont="1" applyFill="1" applyBorder="1" applyAlignment="1">
      <alignment horizontal="center" vertical="center" wrapText="1"/>
    </xf>
    <xf numFmtId="0" fontId="42" fillId="5" borderId="2" xfId="0"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5" borderId="6"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19" xfId="0" applyFont="1" applyFill="1" applyBorder="1" applyAlignment="1">
      <alignment horizontal="center" vertical="center" wrapText="1"/>
    </xf>
    <xf numFmtId="10" fontId="42" fillId="5" borderId="1" xfId="3" applyNumberFormat="1" applyFont="1" applyFill="1" applyBorder="1" applyAlignment="1">
      <alignment horizontal="center" vertical="center" wrapText="1"/>
    </xf>
    <xf numFmtId="10" fontId="42" fillId="5" borderId="3" xfId="3" applyNumberFormat="1" applyFont="1" applyFill="1" applyBorder="1" applyAlignment="1">
      <alignment horizontal="center" vertical="center" wrapText="1"/>
    </xf>
    <xf numFmtId="10" fontId="42" fillId="5" borderId="6" xfId="3" applyNumberFormat="1" applyFont="1" applyFill="1" applyBorder="1" applyAlignment="1">
      <alignment horizontal="center" vertical="center" wrapText="1"/>
    </xf>
    <xf numFmtId="10" fontId="42" fillId="5" borderId="19" xfId="3" applyNumberFormat="1" applyFont="1" applyFill="1" applyBorder="1" applyAlignment="1">
      <alignment horizontal="center" vertical="center" wrapText="1"/>
    </xf>
    <xf numFmtId="4" fontId="43" fillId="5" borderId="6" xfId="3" applyNumberFormat="1" applyFont="1" applyFill="1" applyBorder="1" applyAlignment="1">
      <alignment horizontal="right" vertical="center" wrapText="1"/>
    </xf>
    <xf numFmtId="4" fontId="43" fillId="5" borderId="19" xfId="3" applyNumberFormat="1" applyFont="1" applyFill="1" applyBorder="1" applyAlignment="1">
      <alignment horizontal="right" vertical="center" wrapText="1"/>
    </xf>
    <xf numFmtId="4" fontId="43" fillId="5" borderId="8" xfId="3" applyNumberFormat="1" applyFont="1" applyFill="1" applyBorder="1" applyAlignment="1">
      <alignment horizontal="right" vertical="center" wrapText="1"/>
    </xf>
    <xf numFmtId="4" fontId="43" fillId="5" borderId="10" xfId="3" applyNumberFormat="1" applyFont="1" applyFill="1" applyBorder="1" applyAlignment="1">
      <alignment horizontal="right" vertical="center" wrapText="1"/>
    </xf>
    <xf numFmtId="1" fontId="3" fillId="0" borderId="31" xfId="3" applyNumberFormat="1" applyFont="1" applyBorder="1" applyAlignment="1">
      <alignment horizontal="left" vertical="center" wrapText="1"/>
    </xf>
    <xf numFmtId="1" fontId="3" fillId="0" borderId="34" xfId="3" applyNumberFormat="1" applyFont="1" applyBorder="1" applyAlignment="1">
      <alignment horizontal="left" vertical="center" wrapText="1"/>
    </xf>
    <xf numFmtId="1" fontId="3" fillId="2" borderId="31" xfId="3" applyNumberFormat="1" applyFont="1" applyFill="1" applyBorder="1" applyAlignment="1">
      <alignment horizontal="center" vertical="center" wrapText="1"/>
    </xf>
    <xf numFmtId="1" fontId="3" fillId="2" borderId="34" xfId="3" applyNumberFormat="1" applyFont="1" applyFill="1" applyBorder="1" applyAlignment="1">
      <alignment horizontal="center" vertical="center" wrapText="1"/>
    </xf>
    <xf numFmtId="0" fontId="3" fillId="2" borderId="31" xfId="3" applyFont="1" applyFill="1" applyBorder="1" applyAlignment="1">
      <alignment horizontal="center" vertical="center" wrapText="1"/>
    </xf>
    <xf numFmtId="0" fontId="3" fillId="2" borderId="34" xfId="3" applyFont="1" applyFill="1" applyBorder="1" applyAlignment="1">
      <alignment horizontal="center" vertical="center" wrapText="1"/>
    </xf>
    <xf numFmtId="1" fontId="3" fillId="2" borderId="31" xfId="3" applyNumberFormat="1" applyFont="1" applyFill="1" applyBorder="1" applyAlignment="1">
      <alignment horizontal="left" vertical="center" wrapText="1"/>
    </xf>
    <xf numFmtId="1" fontId="3" fillId="2" borderId="34" xfId="3" applyNumberFormat="1" applyFont="1" applyFill="1" applyBorder="1" applyAlignment="1">
      <alignment horizontal="left" vertical="center" wrapText="1"/>
    </xf>
    <xf numFmtId="1" fontId="3" fillId="2" borderId="20" xfId="3" applyNumberFormat="1" applyFont="1" applyFill="1" applyBorder="1" applyAlignment="1">
      <alignment horizontal="center" vertical="center" wrapText="1"/>
    </xf>
    <xf numFmtId="1" fontId="3" fillId="0" borderId="31" xfId="3" applyNumberFormat="1" applyFont="1" applyBorder="1" applyAlignment="1">
      <alignment horizontal="left" vertical="top" wrapText="1"/>
    </xf>
    <xf numFmtId="1" fontId="3" fillId="0" borderId="34" xfId="3" applyNumberFormat="1" applyFont="1" applyBorder="1" applyAlignment="1">
      <alignment horizontal="left" vertical="top" wrapText="1"/>
    </xf>
    <xf numFmtId="1" fontId="36" fillId="2" borderId="31" xfId="3" applyNumberFormat="1" applyFont="1" applyFill="1" applyBorder="1" applyAlignment="1">
      <alignment horizontal="left" vertical="center" wrapText="1"/>
    </xf>
    <xf numFmtId="1" fontId="36" fillId="2" borderId="34" xfId="3" applyNumberFormat="1" applyFont="1" applyFill="1" applyBorder="1" applyAlignment="1">
      <alignment horizontal="left" vertical="center" wrapText="1"/>
    </xf>
    <xf numFmtId="0" fontId="43" fillId="5" borderId="1" xfId="0" applyFont="1" applyFill="1" applyBorder="1" applyAlignment="1">
      <alignment horizontal="right" vertical="center" wrapText="1"/>
    </xf>
    <xf numFmtId="0" fontId="43" fillId="5" borderId="2" xfId="0" applyFont="1" applyFill="1" applyBorder="1" applyAlignment="1">
      <alignment horizontal="right" vertical="center" wrapText="1"/>
    </xf>
    <xf numFmtId="0" fontId="43" fillId="5" borderId="3" xfId="0" applyFont="1" applyFill="1" applyBorder="1" applyAlignment="1">
      <alignment horizontal="right" vertical="center" wrapText="1"/>
    </xf>
    <xf numFmtId="0" fontId="43" fillId="5" borderId="85" xfId="0" applyFont="1" applyFill="1" applyBorder="1" applyAlignment="1">
      <alignment horizontal="right" vertical="center" wrapText="1"/>
    </xf>
    <xf numFmtId="0" fontId="43" fillId="5" borderId="0" xfId="0" applyFont="1" applyFill="1" applyAlignment="1">
      <alignment horizontal="right" vertical="center" wrapText="1"/>
    </xf>
    <xf numFmtId="0" fontId="43" fillId="5" borderId="83" xfId="0" applyFont="1" applyFill="1" applyBorder="1" applyAlignment="1">
      <alignment horizontal="right" vertical="center" wrapText="1"/>
    </xf>
    <xf numFmtId="10" fontId="43" fillId="5" borderId="1" xfId="3" applyNumberFormat="1" applyFont="1" applyFill="1" applyBorder="1" applyAlignment="1">
      <alignment horizontal="right" vertical="center" wrapText="1"/>
    </xf>
    <xf numFmtId="10" fontId="43" fillId="5" borderId="3" xfId="3" applyNumberFormat="1" applyFont="1" applyFill="1" applyBorder="1" applyAlignment="1">
      <alignment horizontal="right" vertical="center" wrapText="1"/>
    </xf>
    <xf numFmtId="10" fontId="43" fillId="5" borderId="85" xfId="3" applyNumberFormat="1" applyFont="1" applyFill="1" applyBorder="1" applyAlignment="1">
      <alignment horizontal="right" vertical="center" wrapText="1"/>
    </xf>
    <xf numFmtId="10" fontId="43" fillId="5" borderId="83" xfId="3" applyNumberFormat="1" applyFont="1" applyFill="1" applyBorder="1" applyAlignment="1">
      <alignment horizontal="right" vertical="center" wrapText="1"/>
    </xf>
    <xf numFmtId="10" fontId="42" fillId="5" borderId="1" xfId="3" applyNumberFormat="1" applyFont="1" applyFill="1" applyBorder="1" applyAlignment="1">
      <alignment horizontal="right" vertical="center" wrapText="1"/>
    </xf>
    <xf numFmtId="10" fontId="42" fillId="5" borderId="3" xfId="3" applyNumberFormat="1" applyFont="1" applyFill="1" applyBorder="1" applyAlignment="1">
      <alignment horizontal="right" vertical="center" wrapText="1"/>
    </xf>
    <xf numFmtId="10" fontId="42" fillId="5" borderId="6" xfId="3" applyNumberFormat="1" applyFont="1" applyFill="1" applyBorder="1" applyAlignment="1">
      <alignment horizontal="right" vertical="center" wrapText="1"/>
    </xf>
    <xf numFmtId="10" fontId="42" fillId="5" borderId="19" xfId="3" applyNumberFormat="1" applyFont="1" applyFill="1" applyBorder="1" applyAlignment="1">
      <alignment horizontal="right" vertical="center" wrapText="1"/>
    </xf>
    <xf numFmtId="10" fontId="42" fillId="5" borderId="4" xfId="3" applyNumberFormat="1" applyFont="1" applyFill="1" applyBorder="1" applyAlignment="1">
      <alignment horizontal="right" vertical="center" wrapText="1"/>
    </xf>
    <xf numFmtId="10" fontId="42" fillId="5" borderId="5" xfId="3" applyNumberFormat="1" applyFont="1" applyFill="1" applyBorder="1" applyAlignment="1">
      <alignment horizontal="right" vertical="center" wrapText="1"/>
    </xf>
    <xf numFmtId="0" fontId="42" fillId="5" borderId="1" xfId="0" applyFont="1" applyFill="1" applyBorder="1" applyAlignment="1">
      <alignment horizontal="right" vertical="center" wrapText="1"/>
    </xf>
    <xf numFmtId="0" fontId="42" fillId="5" borderId="2" xfId="0" applyFont="1" applyFill="1" applyBorder="1" applyAlignment="1">
      <alignment horizontal="right" vertical="center" wrapText="1"/>
    </xf>
    <xf numFmtId="0" fontId="42" fillId="5" borderId="3" xfId="0" applyFont="1" applyFill="1" applyBorder="1" applyAlignment="1">
      <alignment horizontal="right" vertical="center" wrapText="1"/>
    </xf>
    <xf numFmtId="0" fontId="42" fillId="5" borderId="4" xfId="0" applyFont="1" applyFill="1" applyBorder="1" applyAlignment="1">
      <alignment horizontal="right" vertical="center" wrapText="1"/>
    </xf>
    <xf numFmtId="0" fontId="42" fillId="5" borderId="0" xfId="0" applyFont="1" applyFill="1" applyAlignment="1">
      <alignment horizontal="right" vertical="center" wrapText="1"/>
    </xf>
    <xf numFmtId="0" fontId="42" fillId="5" borderId="5" xfId="0" applyFont="1" applyFill="1" applyBorder="1" applyAlignment="1">
      <alignment horizontal="right" vertical="center" wrapText="1"/>
    </xf>
    <xf numFmtId="0" fontId="42" fillId="5" borderId="8" xfId="0" applyFont="1" applyFill="1" applyBorder="1" applyAlignment="1">
      <alignment horizontal="right" vertical="center" wrapText="1"/>
    </xf>
    <xf numFmtId="0" fontId="42" fillId="5" borderId="9" xfId="0" applyFont="1" applyFill="1" applyBorder="1" applyAlignment="1">
      <alignment horizontal="right" vertical="center" wrapText="1"/>
    </xf>
    <xf numFmtId="0" fontId="42" fillId="5" borderId="10" xfId="0" applyFont="1" applyFill="1" applyBorder="1" applyAlignment="1">
      <alignment horizontal="right" vertical="center" wrapText="1"/>
    </xf>
    <xf numFmtId="10" fontId="43" fillId="5" borderId="6" xfId="3" applyNumberFormat="1" applyFont="1" applyFill="1" applyBorder="1" applyAlignment="1">
      <alignment horizontal="right" vertical="center" wrapText="1"/>
    </xf>
    <xf numFmtId="10" fontId="43" fillId="5" borderId="19" xfId="3" applyNumberFormat="1" applyFont="1" applyFill="1" applyBorder="1" applyAlignment="1">
      <alignment horizontal="right" vertical="center" wrapText="1"/>
    </xf>
    <xf numFmtId="0" fontId="36" fillId="2" borderId="84" xfId="3" applyFont="1" applyFill="1" applyBorder="1" applyAlignment="1">
      <alignment horizontal="center" vertical="center" wrapText="1"/>
    </xf>
    <xf numFmtId="14" fontId="4" fillId="2" borderId="14" xfId="3" applyNumberFormat="1" applyFont="1" applyFill="1" applyBorder="1" applyAlignment="1">
      <alignment horizontal="center" vertical="center" wrapText="1"/>
    </xf>
    <xf numFmtId="14" fontId="4" fillId="2" borderId="15" xfId="3" applyNumberFormat="1" applyFont="1" applyFill="1" applyBorder="1" applyAlignment="1">
      <alignment horizontal="center" vertical="center" wrapText="1"/>
    </xf>
    <xf numFmtId="14" fontId="4" fillId="2" borderId="16" xfId="3" applyNumberFormat="1" applyFont="1" applyFill="1" applyBorder="1" applyAlignment="1">
      <alignment horizontal="center" vertical="center" wrapText="1"/>
    </xf>
    <xf numFmtId="14" fontId="4" fillId="2" borderId="14" xfId="3" applyNumberFormat="1" applyFont="1" applyFill="1" applyBorder="1" applyAlignment="1">
      <alignment horizontal="center" vertical="distributed" wrapText="1"/>
    </xf>
    <xf numFmtId="14" fontId="4" fillId="2" borderId="15" xfId="3" applyNumberFormat="1" applyFont="1" applyFill="1" applyBorder="1" applyAlignment="1">
      <alignment horizontal="center" vertical="distributed" wrapText="1"/>
    </xf>
    <xf numFmtId="14" fontId="4" fillId="2" borderId="16" xfId="3" applyNumberFormat="1" applyFont="1" applyFill="1" applyBorder="1" applyAlignment="1">
      <alignment horizontal="center" vertical="distributed" wrapText="1"/>
    </xf>
    <xf numFmtId="0" fontId="42" fillId="5" borderId="6" xfId="0" applyFont="1" applyFill="1" applyBorder="1" applyAlignment="1">
      <alignment horizontal="right" vertical="center" wrapText="1"/>
    </xf>
    <xf numFmtId="0" fontId="42" fillId="5" borderId="18" xfId="0" applyFont="1" applyFill="1" applyBorder="1" applyAlignment="1">
      <alignment horizontal="right" vertical="center" wrapText="1"/>
    </xf>
    <xf numFmtId="0" fontId="42" fillId="5" borderId="19" xfId="0" applyFont="1" applyFill="1" applyBorder="1" applyAlignment="1">
      <alignment horizontal="right" vertical="center" wrapText="1"/>
    </xf>
    <xf numFmtId="14" fontId="4" fillId="2" borderId="14" xfId="3" applyNumberFormat="1" applyFont="1" applyFill="1" applyBorder="1" applyAlignment="1">
      <alignment horizontal="center" vertical="top" wrapText="1"/>
    </xf>
    <xf numFmtId="14" fontId="4" fillId="2" borderId="15" xfId="3" applyNumberFormat="1" applyFont="1" applyFill="1" applyBorder="1" applyAlignment="1">
      <alignment horizontal="center" vertical="top" wrapText="1"/>
    </xf>
    <xf numFmtId="14" fontId="4" fillId="2" borderId="16" xfId="3" applyNumberFormat="1" applyFont="1" applyFill="1" applyBorder="1" applyAlignment="1">
      <alignment horizontal="center" vertical="top" wrapText="1"/>
    </xf>
    <xf numFmtId="14" fontId="41" fillId="2" borderId="14" xfId="3" applyNumberFormat="1" applyFont="1" applyFill="1" applyBorder="1" applyAlignment="1">
      <alignment horizontal="center" vertical="center" wrapText="1"/>
    </xf>
    <xf numFmtId="14" fontId="41" fillId="2" borderId="15" xfId="3" applyNumberFormat="1" applyFont="1" applyFill="1" applyBorder="1" applyAlignment="1">
      <alignment horizontal="center" vertical="center" wrapText="1"/>
    </xf>
    <xf numFmtId="14" fontId="41" fillId="2" borderId="16" xfId="3" applyNumberFormat="1" applyFont="1" applyFill="1" applyBorder="1" applyAlignment="1">
      <alignment horizontal="center" vertical="center" wrapText="1"/>
    </xf>
    <xf numFmtId="0" fontId="43" fillId="5" borderId="8" xfId="0" applyFont="1" applyFill="1" applyBorder="1" applyAlignment="1">
      <alignment horizontal="right" vertical="center" wrapText="1"/>
    </xf>
    <xf numFmtId="0" fontId="43" fillId="5" borderId="9" xfId="0" applyFont="1" applyFill="1" applyBorder="1" applyAlignment="1">
      <alignment horizontal="right" vertical="center" wrapText="1"/>
    </xf>
    <xf numFmtId="0" fontId="43" fillId="5" borderId="10" xfId="0" applyFont="1" applyFill="1" applyBorder="1" applyAlignment="1">
      <alignment horizontal="right" vertical="center" wrapText="1"/>
    </xf>
    <xf numFmtId="0" fontId="43" fillId="5" borderId="6" xfId="0" applyFont="1" applyFill="1" applyBorder="1" applyAlignment="1">
      <alignment horizontal="right" vertical="center" wrapText="1"/>
    </xf>
    <xf numFmtId="0" fontId="43" fillId="5" borderId="18" xfId="0" applyFont="1" applyFill="1" applyBorder="1" applyAlignment="1">
      <alignment horizontal="right" vertical="center" wrapText="1"/>
    </xf>
    <xf numFmtId="0" fontId="43" fillId="5" borderId="19" xfId="0" applyFont="1" applyFill="1" applyBorder="1" applyAlignment="1">
      <alignment horizontal="right" vertical="center" wrapText="1"/>
    </xf>
    <xf numFmtId="174" fontId="42" fillId="5" borderId="31" xfId="3" applyNumberFormat="1" applyFont="1" applyFill="1" applyBorder="1" applyAlignment="1">
      <alignment horizontal="center" vertical="center" wrapText="1"/>
    </xf>
    <xf numFmtId="174" fontId="42" fillId="5" borderId="34" xfId="3" applyNumberFormat="1" applyFont="1" applyFill="1" applyBorder="1" applyAlignment="1">
      <alignment horizontal="center" vertical="center" wrapText="1"/>
    </xf>
    <xf numFmtId="0" fontId="42" fillId="5" borderId="8" xfId="3" applyFont="1" applyFill="1" applyBorder="1" applyAlignment="1">
      <alignment horizontal="right" vertical="center" wrapText="1"/>
    </xf>
    <xf numFmtId="0" fontId="42" fillId="5" borderId="9" xfId="3" applyFont="1" applyFill="1" applyBorder="1" applyAlignment="1">
      <alignment horizontal="right" vertical="center" wrapText="1"/>
    </xf>
    <xf numFmtId="0" fontId="42" fillId="5" borderId="10" xfId="3" applyFont="1" applyFill="1" applyBorder="1" applyAlignment="1">
      <alignment horizontal="right" vertical="center" wrapText="1"/>
    </xf>
    <xf numFmtId="174" fontId="43" fillId="5" borderId="31" xfId="3" applyNumberFormat="1" applyFont="1" applyFill="1" applyBorder="1" applyAlignment="1">
      <alignment horizontal="center" vertical="center" wrapText="1"/>
    </xf>
    <xf numFmtId="174" fontId="43" fillId="5" borderId="34" xfId="3" applyNumberFormat="1" applyFont="1" applyFill="1" applyBorder="1" applyAlignment="1">
      <alignment horizontal="center" vertical="center" wrapText="1"/>
    </xf>
    <xf numFmtId="0" fontId="43" fillId="5" borderId="8" xfId="3" applyFont="1" applyFill="1" applyBorder="1" applyAlignment="1">
      <alignment horizontal="right" vertical="center" wrapText="1"/>
    </xf>
    <xf numFmtId="0" fontId="43" fillId="5" borderId="9" xfId="3" applyFont="1" applyFill="1" applyBorder="1" applyAlignment="1">
      <alignment horizontal="right" vertical="center" wrapText="1"/>
    </xf>
    <xf numFmtId="0" fontId="43" fillId="5" borderId="10" xfId="3" applyFont="1" applyFill="1" applyBorder="1" applyAlignment="1">
      <alignment horizontal="right" vertical="center" wrapText="1"/>
    </xf>
    <xf numFmtId="174" fontId="43" fillId="5" borderId="17" xfId="3" applyNumberFormat="1" applyFont="1" applyFill="1" applyBorder="1" applyAlignment="1">
      <alignment horizontal="center" vertical="center" wrapText="1"/>
    </xf>
    <xf numFmtId="0" fontId="43" fillId="5" borderId="1" xfId="3" applyFont="1" applyFill="1" applyBorder="1" applyAlignment="1">
      <alignment horizontal="right" vertical="center" wrapText="1"/>
    </xf>
    <xf numFmtId="0" fontId="43" fillId="5" borderId="2" xfId="3" applyFont="1" applyFill="1" applyBorder="1" applyAlignment="1">
      <alignment horizontal="right" vertical="center" wrapText="1"/>
    </xf>
    <xf numFmtId="0" fontId="43" fillId="5" borderId="3" xfId="3" applyFont="1" applyFill="1" applyBorder="1" applyAlignment="1">
      <alignment horizontal="right" vertical="center" wrapText="1"/>
    </xf>
    <xf numFmtId="10" fontId="43" fillId="5" borderId="4" xfId="3" applyNumberFormat="1" applyFont="1" applyFill="1" applyBorder="1" applyAlignment="1">
      <alignment horizontal="right" vertical="center" wrapText="1"/>
    </xf>
    <xf numFmtId="10" fontId="43" fillId="5" borderId="5" xfId="3" applyNumberFormat="1" applyFont="1" applyFill="1" applyBorder="1" applyAlignment="1">
      <alignment horizontal="right" vertical="center" wrapText="1"/>
    </xf>
    <xf numFmtId="174" fontId="42" fillId="5" borderId="17" xfId="3" applyNumberFormat="1" applyFont="1" applyFill="1" applyBorder="1" applyAlignment="1">
      <alignment horizontal="center" vertical="center" wrapText="1"/>
    </xf>
    <xf numFmtId="14" fontId="4" fillId="2" borderId="1" xfId="3" applyNumberFormat="1" applyFont="1" applyFill="1" applyBorder="1" applyAlignment="1">
      <alignment horizontal="center" vertical="center" wrapText="1"/>
    </xf>
    <xf numFmtId="14" fontId="4" fillId="2" borderId="2" xfId="3" applyNumberFormat="1" applyFont="1" applyFill="1" applyBorder="1" applyAlignment="1">
      <alignment horizontal="center" vertical="center" wrapText="1"/>
    </xf>
    <xf numFmtId="14" fontId="4" fillId="2" borderId="3" xfId="3" applyNumberFormat="1" applyFont="1" applyFill="1" applyBorder="1" applyAlignment="1">
      <alignment horizontal="center" vertical="center" wrapText="1"/>
    </xf>
    <xf numFmtId="0" fontId="42" fillId="5" borderId="1" xfId="3" applyFont="1" applyFill="1" applyBorder="1" applyAlignment="1">
      <alignment horizontal="right" vertical="center" wrapText="1"/>
    </xf>
    <xf numFmtId="0" fontId="42" fillId="5" borderId="2" xfId="3" applyFont="1" applyFill="1" applyBorder="1" applyAlignment="1">
      <alignment horizontal="right" vertical="center" wrapText="1"/>
    </xf>
    <xf numFmtId="0" fontId="42" fillId="5" borderId="3" xfId="3" applyFont="1" applyFill="1" applyBorder="1" applyAlignment="1">
      <alignment horizontal="right" vertical="center" wrapText="1"/>
    </xf>
    <xf numFmtId="165" fontId="3" fillId="2" borderId="31" xfId="3" applyNumberFormat="1" applyFont="1" applyFill="1" applyBorder="1" applyAlignment="1">
      <alignment horizontal="center" vertical="center" wrapText="1"/>
    </xf>
    <xf numFmtId="165" fontId="3" fillId="2" borderId="34" xfId="3" applyNumberFormat="1" applyFont="1" applyFill="1" applyBorder="1" applyAlignment="1">
      <alignment horizontal="center" vertical="center" wrapText="1"/>
    </xf>
    <xf numFmtId="165" fontId="36" fillId="2" borderId="31" xfId="3" applyNumberFormat="1" applyFont="1" applyFill="1" applyBorder="1" applyAlignment="1">
      <alignment horizontal="center" vertical="center" wrapText="1"/>
    </xf>
    <xf numFmtId="165" fontId="36" fillId="2" borderId="34" xfId="3" applyNumberFormat="1" applyFont="1" applyFill="1" applyBorder="1" applyAlignment="1">
      <alignment horizontal="center" vertical="center" wrapText="1"/>
    </xf>
    <xf numFmtId="0" fontId="3" fillId="2" borderId="8" xfId="4" applyFont="1" applyFill="1" applyBorder="1" applyAlignment="1">
      <alignment horizontal="center" vertical="center" wrapText="1"/>
    </xf>
    <xf numFmtId="0" fontId="3" fillId="2" borderId="9" xfId="4" applyFont="1" applyFill="1" applyBorder="1" applyAlignment="1">
      <alignment horizontal="center" vertical="center" wrapText="1"/>
    </xf>
    <xf numFmtId="0" fontId="3" fillId="2" borderId="10" xfId="4" applyFont="1" applyFill="1" applyBorder="1" applyAlignment="1">
      <alignment horizontal="center" vertical="center" wrapText="1"/>
    </xf>
    <xf numFmtId="0" fontId="36" fillId="2" borderId="31" xfId="3" applyFont="1" applyFill="1" applyBorder="1" applyAlignment="1">
      <alignment horizontal="center" vertical="distributed" wrapText="1"/>
    </xf>
    <xf numFmtId="0" fontId="36" fillId="2" borderId="34" xfId="3" applyFont="1" applyFill="1" applyBorder="1" applyAlignment="1">
      <alignment horizontal="center" vertical="distributed" wrapText="1"/>
    </xf>
    <xf numFmtId="0" fontId="3" fillId="2" borderId="31" xfId="3" applyFont="1" applyFill="1" applyBorder="1" applyAlignment="1">
      <alignment horizontal="center" vertical="distributed" wrapText="1"/>
    </xf>
    <xf numFmtId="0" fontId="3" fillId="2" borderId="34" xfId="3" applyFont="1" applyFill="1" applyBorder="1" applyAlignment="1">
      <alignment horizontal="center" vertical="distributed" wrapText="1"/>
    </xf>
    <xf numFmtId="0" fontId="3" fillId="2" borderId="8" xfId="3" applyFont="1" applyFill="1" applyBorder="1" applyAlignment="1">
      <alignment horizontal="center" vertical="center" wrapText="1"/>
    </xf>
    <xf numFmtId="0" fontId="3" fillId="2" borderId="9" xfId="3" applyFont="1" applyFill="1" applyBorder="1" applyAlignment="1">
      <alignment horizontal="center" vertical="center" wrapText="1"/>
    </xf>
    <xf numFmtId="0" fontId="3" fillId="2" borderId="10" xfId="3" applyFont="1" applyFill="1" applyBorder="1" applyAlignment="1">
      <alignment horizontal="center" vertical="center" wrapText="1"/>
    </xf>
    <xf numFmtId="0" fontId="3" fillId="2" borderId="8" xfId="3" applyFont="1" applyFill="1" applyBorder="1" applyAlignment="1">
      <alignment horizontal="center" vertical="distributed" wrapText="1"/>
    </xf>
    <xf numFmtId="0" fontId="3" fillId="2" borderId="9" xfId="3" applyFont="1" applyFill="1" applyBorder="1" applyAlignment="1">
      <alignment horizontal="center" vertical="distributed" wrapText="1"/>
    </xf>
    <xf numFmtId="0" fontId="3" fillId="2" borderId="10" xfId="3" applyFont="1" applyFill="1" applyBorder="1" applyAlignment="1">
      <alignment horizontal="center" vertical="distributed" wrapText="1"/>
    </xf>
    <xf numFmtId="0" fontId="36" fillId="0" borderId="31" xfId="3" applyFont="1" applyBorder="1" applyAlignment="1">
      <alignment horizontal="center" vertical="center" wrapText="1"/>
    </xf>
    <xf numFmtId="0" fontId="36" fillId="0" borderId="34" xfId="3" applyFont="1" applyBorder="1" applyAlignment="1">
      <alignment horizontal="center" vertical="center" wrapText="1"/>
    </xf>
    <xf numFmtId="0" fontId="43" fillId="5" borderId="4" xfId="0" applyFont="1" applyFill="1" applyBorder="1" applyAlignment="1">
      <alignment horizontal="right" vertical="center" wrapText="1"/>
    </xf>
    <xf numFmtId="0" fontId="43" fillId="5" borderId="5" xfId="0" applyFont="1" applyFill="1" applyBorder="1" applyAlignment="1">
      <alignment horizontal="right" vertical="center" wrapText="1"/>
    </xf>
    <xf numFmtId="0" fontId="3" fillId="0" borderId="31" xfId="3" applyFont="1" applyBorder="1" applyAlignment="1">
      <alignment horizontal="center" vertical="center" wrapText="1"/>
    </xf>
    <xf numFmtId="0" fontId="3" fillId="0" borderId="34" xfId="3" applyFont="1" applyBorder="1" applyAlignment="1">
      <alignment horizontal="center" vertical="center" wrapText="1"/>
    </xf>
    <xf numFmtId="174" fontId="43" fillId="5" borderId="84" xfId="3" applyNumberFormat="1" applyFont="1" applyFill="1" applyBorder="1" applyAlignment="1">
      <alignment horizontal="center" vertical="center" wrapText="1"/>
    </xf>
    <xf numFmtId="1" fontId="3" fillId="2" borderId="8" xfId="0" applyNumberFormat="1" applyFont="1" applyFill="1" applyBorder="1" applyAlignment="1">
      <alignment horizontal="center" vertical="center" wrapText="1"/>
    </xf>
    <xf numFmtId="1" fontId="3" fillId="2" borderId="9" xfId="0" applyNumberFormat="1" applyFont="1" applyFill="1" applyBorder="1" applyAlignment="1">
      <alignment horizontal="center" vertical="center" wrapText="1"/>
    </xf>
    <xf numFmtId="1" fontId="3" fillId="2" borderId="10" xfId="0" applyNumberFormat="1" applyFont="1" applyFill="1" applyBorder="1" applyAlignment="1">
      <alignment horizontal="center" vertical="center" wrapText="1"/>
    </xf>
    <xf numFmtId="0" fontId="3" fillId="2" borderId="84" xfId="3" applyFont="1" applyFill="1" applyBorder="1" applyAlignment="1">
      <alignment horizontal="center" vertical="center" wrapText="1"/>
    </xf>
    <xf numFmtId="0" fontId="3" fillId="2" borderId="84" xfId="3" applyFont="1" applyFill="1" applyBorder="1" applyAlignment="1">
      <alignment horizontal="center" vertical="distributed" wrapText="1"/>
    </xf>
    <xf numFmtId="165" fontId="3" fillId="2" borderId="84" xfId="3" applyNumberFormat="1" applyFont="1" applyFill="1" applyBorder="1" applyAlignment="1">
      <alignment horizontal="center" vertical="center" wrapText="1"/>
    </xf>
    <xf numFmtId="1" fontId="3" fillId="2" borderId="31" xfId="3" applyNumberFormat="1" applyFont="1" applyFill="1" applyBorder="1" applyAlignment="1">
      <alignment horizontal="left" vertical="top" wrapText="1"/>
    </xf>
    <xf numFmtId="1" fontId="3" fillId="2" borderId="34" xfId="3" applyNumberFormat="1" applyFont="1" applyFill="1" applyBorder="1" applyAlignment="1">
      <alignment horizontal="left" vertical="top" wrapText="1"/>
    </xf>
    <xf numFmtId="1" fontId="3" fillId="2" borderId="84" xfId="3" applyNumberFormat="1" applyFont="1" applyFill="1" applyBorder="1" applyAlignment="1">
      <alignment horizontal="center" vertical="center" wrapText="1"/>
    </xf>
    <xf numFmtId="1" fontId="3" fillId="2" borderId="84" xfId="3" applyNumberFormat="1" applyFont="1" applyFill="1" applyBorder="1" applyAlignment="1">
      <alignment horizontal="left" vertical="center" wrapText="1"/>
    </xf>
    <xf numFmtId="0" fontId="3" fillId="2" borderId="6" xfId="4" applyFont="1" applyFill="1" applyBorder="1" applyAlignment="1">
      <alignment horizontal="center" vertical="center" wrapText="1"/>
    </xf>
    <xf numFmtId="0" fontId="3" fillId="2" borderId="18" xfId="4" applyFont="1" applyFill="1" applyBorder="1" applyAlignment="1">
      <alignment horizontal="center" vertical="center" wrapText="1"/>
    </xf>
    <xf numFmtId="0" fontId="3" fillId="2" borderId="19" xfId="4" applyFont="1" applyFill="1" applyBorder="1" applyAlignment="1">
      <alignment horizontal="center" vertical="center" wrapText="1"/>
    </xf>
    <xf numFmtId="1" fontId="36" fillId="2" borderId="8" xfId="0" applyNumberFormat="1" applyFont="1" applyFill="1" applyBorder="1" applyAlignment="1">
      <alignment horizontal="center" vertical="center" wrapText="1"/>
    </xf>
    <xf numFmtId="1" fontId="36" fillId="2" borderId="9" xfId="0" applyNumberFormat="1" applyFont="1" applyFill="1" applyBorder="1" applyAlignment="1">
      <alignment horizontal="center" vertical="center" wrapText="1"/>
    </xf>
    <xf numFmtId="1" fontId="36" fillId="2" borderId="10" xfId="0" applyNumberFormat="1" applyFont="1" applyFill="1" applyBorder="1" applyAlignment="1">
      <alignment horizontal="center" vertical="center" wrapText="1"/>
    </xf>
    <xf numFmtId="1" fontId="3" fillId="2" borderId="31" xfId="3" applyNumberFormat="1" applyFont="1" applyFill="1" applyBorder="1" applyAlignment="1">
      <alignment horizontal="justify" vertical="center" wrapText="1"/>
    </xf>
    <xf numFmtId="1" fontId="3" fillId="2" borderId="34" xfId="3" applyNumberFormat="1" applyFont="1" applyFill="1" applyBorder="1" applyAlignment="1">
      <alignment horizontal="justify" vertical="center" wrapText="1"/>
    </xf>
    <xf numFmtId="1" fontId="36" fillId="2" borderId="1" xfId="0" applyNumberFormat="1" applyFont="1" applyFill="1" applyBorder="1" applyAlignment="1">
      <alignment horizontal="center" vertical="center" wrapText="1"/>
    </xf>
    <xf numFmtId="1" fontId="36" fillId="2" borderId="2" xfId="0" applyNumberFormat="1" applyFont="1" applyFill="1" applyBorder="1" applyAlignment="1">
      <alignment horizontal="center" vertical="center" wrapText="1"/>
    </xf>
    <xf numFmtId="1" fontId="36" fillId="2" borderId="3" xfId="0" applyNumberFormat="1" applyFont="1" applyFill="1" applyBorder="1" applyAlignment="1">
      <alignment horizontal="center" vertical="center" wrapText="1"/>
    </xf>
    <xf numFmtId="0" fontId="36" fillId="2" borderId="84" xfId="3" applyFont="1" applyFill="1" applyBorder="1" applyAlignment="1">
      <alignment horizontal="center" vertical="distributed" wrapText="1"/>
    </xf>
    <xf numFmtId="165" fontId="36" fillId="2" borderId="84" xfId="3" applyNumberFormat="1" applyFont="1" applyFill="1" applyBorder="1" applyAlignment="1">
      <alignment horizontal="center" vertical="center" wrapText="1"/>
    </xf>
    <xf numFmtId="1" fontId="36" fillId="2" borderId="84" xfId="3" applyNumberFormat="1" applyFont="1" applyFill="1" applyBorder="1" applyAlignment="1">
      <alignment horizontal="center" vertical="center" wrapText="1"/>
    </xf>
    <xf numFmtId="1" fontId="36" fillId="2" borderId="84" xfId="3" applyNumberFormat="1" applyFont="1" applyFill="1" applyBorder="1" applyAlignment="1">
      <alignment horizontal="left" vertical="center" wrapText="1"/>
    </xf>
    <xf numFmtId="0" fontId="36" fillId="2" borderId="6" xfId="4" applyFont="1" applyFill="1" applyBorder="1" applyAlignment="1">
      <alignment horizontal="center" vertical="center" wrapText="1"/>
    </xf>
    <xf numFmtId="0" fontId="36" fillId="2" borderId="18" xfId="4" applyFont="1" applyFill="1" applyBorder="1" applyAlignment="1">
      <alignment horizontal="center" vertical="center" wrapText="1"/>
    </xf>
    <xf numFmtId="0" fontId="36" fillId="2" borderId="19" xfId="4" applyFont="1" applyFill="1" applyBorder="1" applyAlignment="1">
      <alignment horizontal="center" vertical="center" wrapText="1"/>
    </xf>
    <xf numFmtId="1" fontId="36" fillId="0" borderId="31" xfId="3" applyNumberFormat="1" applyFont="1" applyBorder="1" applyAlignment="1">
      <alignment horizontal="left" vertical="top" wrapText="1"/>
    </xf>
    <xf numFmtId="1" fontId="36" fillId="0" borderId="34" xfId="3" applyNumberFormat="1" applyFont="1" applyBorder="1" applyAlignment="1">
      <alignment horizontal="left" vertical="top" wrapText="1"/>
    </xf>
    <xf numFmtId="165" fontId="36" fillId="2" borderId="17" xfId="3" applyNumberFormat="1" applyFont="1" applyFill="1" applyBorder="1" applyAlignment="1">
      <alignment horizontal="center" vertical="center" wrapText="1"/>
    </xf>
    <xf numFmtId="0" fontId="36" fillId="2" borderId="17" xfId="3" applyFont="1" applyFill="1" applyBorder="1" applyAlignment="1">
      <alignment horizontal="center" vertical="center" wrapText="1"/>
    </xf>
    <xf numFmtId="0" fontId="36" fillId="2" borderId="17" xfId="3" applyFont="1" applyFill="1" applyBorder="1" applyAlignment="1">
      <alignment horizontal="center" vertical="distributed" wrapText="1"/>
    </xf>
    <xf numFmtId="0" fontId="36" fillId="2" borderId="1" xfId="3" applyFont="1" applyFill="1" applyBorder="1" applyAlignment="1">
      <alignment horizontal="center" vertical="center" wrapText="1"/>
    </xf>
    <xf numFmtId="0" fontId="36" fillId="2" borderId="2" xfId="3" applyFont="1" applyFill="1" applyBorder="1" applyAlignment="1">
      <alignment horizontal="center" vertical="center" wrapText="1"/>
    </xf>
    <xf numFmtId="0" fontId="36" fillId="2" borderId="3" xfId="3" applyFont="1" applyFill="1" applyBorder="1" applyAlignment="1">
      <alignment horizontal="center" vertical="center" wrapText="1"/>
    </xf>
    <xf numFmtId="0" fontId="36" fillId="2" borderId="1" xfId="3" applyFont="1" applyFill="1" applyBorder="1" applyAlignment="1">
      <alignment horizontal="center" vertical="distributed" wrapText="1"/>
    </xf>
    <xf numFmtId="0" fontId="36" fillId="2" borderId="2" xfId="3" applyFont="1" applyFill="1" applyBorder="1" applyAlignment="1">
      <alignment horizontal="center" vertical="distributed" wrapText="1"/>
    </xf>
    <xf numFmtId="0" fontId="36" fillId="2" borderId="3" xfId="3" applyFont="1" applyFill="1" applyBorder="1" applyAlignment="1">
      <alignment horizontal="center" vertical="distributed" wrapText="1"/>
    </xf>
    <xf numFmtId="1" fontId="36" fillId="2" borderId="17" xfId="3" applyNumberFormat="1" applyFont="1" applyFill="1" applyBorder="1" applyAlignment="1">
      <alignment horizontal="center" vertical="center" wrapText="1"/>
    </xf>
    <xf numFmtId="1" fontId="36" fillId="0" borderId="31" xfId="3" applyNumberFormat="1" applyFont="1" applyBorder="1" applyAlignment="1">
      <alignment horizontal="justify" vertical="center" wrapText="1"/>
    </xf>
    <xf numFmtId="1" fontId="36" fillId="0" borderId="17" xfId="3" applyNumberFormat="1" applyFont="1" applyBorder="1" applyAlignment="1">
      <alignment horizontal="justify" vertical="center" wrapText="1"/>
    </xf>
    <xf numFmtId="1" fontId="36" fillId="0" borderId="84" xfId="3" applyNumberFormat="1" applyFont="1" applyBorder="1" applyAlignment="1">
      <alignment horizontal="left" vertical="center" wrapText="1"/>
    </xf>
    <xf numFmtId="1" fontId="36" fillId="2" borderId="31" xfId="3" applyNumberFormat="1" applyFont="1" applyFill="1" applyBorder="1" applyAlignment="1">
      <alignment horizontal="left" vertical="top" wrapText="1"/>
    </xf>
    <xf numFmtId="1" fontId="36" fillId="2" borderId="34" xfId="3" applyNumberFormat="1" applyFont="1" applyFill="1" applyBorder="1" applyAlignment="1">
      <alignment horizontal="left" vertical="top" wrapText="1"/>
    </xf>
    <xf numFmtId="0" fontId="42" fillId="5" borderId="6" xfId="3" applyFont="1" applyFill="1" applyBorder="1" applyAlignment="1">
      <alignment horizontal="right" vertical="center" wrapText="1"/>
    </xf>
    <xf numFmtId="0" fontId="42" fillId="5" borderId="18" xfId="3" applyFont="1" applyFill="1" applyBorder="1" applyAlignment="1">
      <alignment horizontal="right" vertical="center" wrapText="1"/>
    </xf>
    <xf numFmtId="0" fontId="42" fillId="5" borderId="19" xfId="3" applyFont="1" applyFill="1" applyBorder="1" applyAlignment="1">
      <alignment horizontal="right" vertical="center" wrapText="1"/>
    </xf>
    <xf numFmtId="0" fontId="3" fillId="0" borderId="8" xfId="3" applyFont="1" applyBorder="1" applyAlignment="1">
      <alignment horizontal="center" vertical="center" wrapText="1"/>
    </xf>
    <xf numFmtId="0" fontId="3" fillId="0" borderId="9" xfId="3" applyFont="1" applyBorder="1" applyAlignment="1">
      <alignment horizontal="center" vertical="center" wrapText="1"/>
    </xf>
    <xf numFmtId="0" fontId="3" fillId="0" borderId="10" xfId="3" applyFont="1" applyBorder="1" applyAlignment="1">
      <alignment horizontal="center" vertical="center" wrapText="1"/>
    </xf>
    <xf numFmtId="0" fontId="3" fillId="0" borderId="8" xfId="3" applyFont="1" applyBorder="1" applyAlignment="1">
      <alignment horizontal="center" vertical="distributed" wrapText="1"/>
    </xf>
    <xf numFmtId="0" fontId="3" fillId="0" borderId="9" xfId="3" applyFont="1" applyBorder="1" applyAlignment="1">
      <alignment horizontal="center" vertical="distributed" wrapText="1"/>
    </xf>
    <xf numFmtId="0" fontId="3" fillId="0" borderId="10" xfId="3" applyFont="1" applyBorder="1" applyAlignment="1">
      <alignment horizontal="center" vertical="distributed" wrapText="1"/>
    </xf>
    <xf numFmtId="0" fontId="3" fillId="0" borderId="8" xfId="4" applyFont="1" applyBorder="1" applyAlignment="1">
      <alignment horizontal="center" vertical="center" wrapText="1"/>
    </xf>
    <xf numFmtId="0" fontId="3" fillId="0" borderId="9" xfId="4" applyFont="1" applyBorder="1" applyAlignment="1">
      <alignment horizontal="center" vertical="center" wrapText="1"/>
    </xf>
    <xf numFmtId="0" fontId="3" fillId="0" borderId="10" xfId="4" applyFont="1" applyBorder="1" applyAlignment="1">
      <alignment horizontal="center" vertical="center" wrapText="1"/>
    </xf>
    <xf numFmtId="165" fontId="3" fillId="2" borderId="20" xfId="3" applyNumberFormat="1" applyFont="1" applyFill="1" applyBorder="1" applyAlignment="1">
      <alignment horizontal="center" vertical="center" wrapText="1"/>
    </xf>
    <xf numFmtId="0" fontId="3" fillId="2" borderId="20" xfId="3" applyFont="1" applyFill="1" applyBorder="1" applyAlignment="1">
      <alignment horizontal="center" vertical="center" wrapText="1"/>
    </xf>
    <xf numFmtId="0" fontId="3" fillId="2" borderId="20" xfId="3" applyFont="1" applyFill="1" applyBorder="1" applyAlignment="1">
      <alignment horizontal="center" vertical="distributed" wrapText="1"/>
    </xf>
    <xf numFmtId="0" fontId="3" fillId="2" borderId="11" xfId="3" applyFont="1" applyFill="1" applyBorder="1" applyAlignment="1">
      <alignment horizontal="center" vertical="center" wrapText="1"/>
    </xf>
    <xf numFmtId="0" fontId="3" fillId="2" borderId="12" xfId="3" applyFont="1" applyFill="1" applyBorder="1" applyAlignment="1">
      <alignment horizontal="center" vertical="center" wrapText="1"/>
    </xf>
    <xf numFmtId="0" fontId="3" fillId="2" borderId="13" xfId="3" applyFont="1" applyFill="1" applyBorder="1" applyAlignment="1">
      <alignment horizontal="center" vertical="center" wrapText="1"/>
    </xf>
    <xf numFmtId="0" fontId="3" fillId="2" borderId="11" xfId="3" applyFont="1" applyFill="1" applyBorder="1" applyAlignment="1">
      <alignment horizontal="center" vertical="distributed" wrapText="1"/>
    </xf>
    <xf numFmtId="0" fontId="3" fillId="2" borderId="12" xfId="3" applyFont="1" applyFill="1" applyBorder="1" applyAlignment="1">
      <alignment horizontal="center" vertical="distributed" wrapText="1"/>
    </xf>
    <xf numFmtId="0" fontId="3" fillId="2" borderId="13" xfId="3" applyFont="1" applyFill="1" applyBorder="1" applyAlignment="1">
      <alignment horizontal="center" vertical="distributed" wrapText="1"/>
    </xf>
    <xf numFmtId="1" fontId="3" fillId="2" borderId="20" xfId="3" applyNumberFormat="1" applyFont="1" applyFill="1" applyBorder="1" applyAlignment="1">
      <alignment horizontal="justify" vertical="center" wrapText="1"/>
    </xf>
    <xf numFmtId="4" fontId="42" fillId="5" borderId="8" xfId="3" applyNumberFormat="1" applyFont="1" applyFill="1" applyBorder="1" applyAlignment="1">
      <alignment horizontal="right" vertical="center" wrapText="1"/>
    </xf>
    <xf numFmtId="4" fontId="42" fillId="5" borderId="10" xfId="3" applyNumberFormat="1" applyFont="1" applyFill="1" applyBorder="1" applyAlignment="1">
      <alignment horizontal="right" vertical="center" wrapText="1"/>
    </xf>
    <xf numFmtId="1" fontId="3" fillId="0" borderId="84" xfId="3" applyNumberFormat="1" applyFont="1" applyBorder="1" applyAlignment="1">
      <alignment horizontal="left" vertical="center" wrapText="1"/>
    </xf>
    <xf numFmtId="1" fontId="4" fillId="7" borderId="9" xfId="0" applyNumberFormat="1" applyFont="1" applyFill="1" applyBorder="1" applyAlignment="1">
      <alignment vertical="center"/>
    </xf>
    <xf numFmtId="14" fontId="4" fillId="2" borderId="32" xfId="3" applyNumberFormat="1" applyFont="1" applyFill="1" applyBorder="1" applyAlignment="1">
      <alignment horizontal="center" vertical="center" wrapText="1"/>
    </xf>
    <xf numFmtId="14" fontId="4" fillId="2" borderId="40" xfId="3" applyNumberFormat="1" applyFont="1" applyFill="1" applyBorder="1" applyAlignment="1">
      <alignment horizontal="center" vertical="center" wrapText="1"/>
    </xf>
    <xf numFmtId="14" fontId="4" fillId="2" borderId="30" xfId="3" applyNumberFormat="1" applyFont="1" applyFill="1" applyBorder="1" applyAlignment="1">
      <alignment horizontal="center" vertical="center" wrapText="1"/>
    </xf>
    <xf numFmtId="14" fontId="4" fillId="2" borderId="32" xfId="3" applyNumberFormat="1" applyFont="1" applyFill="1" applyBorder="1" applyAlignment="1">
      <alignment horizontal="center" vertical="distributed" wrapText="1"/>
    </xf>
    <xf numFmtId="14" fontId="4" fillId="2" borderId="40" xfId="3" applyNumberFormat="1" applyFont="1" applyFill="1" applyBorder="1" applyAlignment="1">
      <alignment horizontal="center" vertical="distributed" wrapText="1"/>
    </xf>
    <xf numFmtId="14" fontId="4" fillId="2" borderId="30" xfId="3" applyNumberFormat="1" applyFont="1" applyFill="1" applyBorder="1" applyAlignment="1">
      <alignment horizontal="center" vertical="distributed" wrapText="1"/>
    </xf>
    <xf numFmtId="14" fontId="39" fillId="2" borderId="32" xfId="3" applyNumberFormat="1" applyFont="1" applyFill="1" applyBorder="1" applyAlignment="1">
      <alignment horizontal="center" vertical="center" wrapText="1"/>
    </xf>
    <xf numFmtId="14" fontId="39" fillId="2" borderId="40" xfId="3" applyNumberFormat="1" applyFont="1" applyFill="1" applyBorder="1" applyAlignment="1">
      <alignment horizontal="center" vertical="center" wrapText="1"/>
    </xf>
    <xf numFmtId="14" fontId="39" fillId="2" borderId="30" xfId="3" applyNumberFormat="1" applyFont="1" applyFill="1" applyBorder="1" applyAlignment="1">
      <alignment horizontal="center" vertical="center" wrapText="1"/>
    </xf>
    <xf numFmtId="14" fontId="39" fillId="2" borderId="32" xfId="3" applyNumberFormat="1" applyFont="1" applyFill="1" applyBorder="1" applyAlignment="1">
      <alignment horizontal="center" vertical="distributed" wrapText="1"/>
    </xf>
    <xf numFmtId="14" fontId="39" fillId="2" borderId="40" xfId="3" applyNumberFormat="1" applyFont="1" applyFill="1" applyBorder="1" applyAlignment="1">
      <alignment horizontal="center" vertical="distributed" wrapText="1"/>
    </xf>
    <xf numFmtId="14" fontId="39" fillId="2" borderId="30" xfId="3" applyNumberFormat="1" applyFont="1" applyFill="1" applyBorder="1" applyAlignment="1">
      <alignment horizontal="center" vertical="distributed" wrapText="1"/>
    </xf>
    <xf numFmtId="14" fontId="4" fillId="0" borderId="14" xfId="3" applyNumberFormat="1" applyFont="1" applyBorder="1" applyAlignment="1">
      <alignment horizontal="center" vertical="center" wrapText="1"/>
    </xf>
    <xf numFmtId="14" fontId="4" fillId="0" borderId="15" xfId="3" applyNumberFormat="1" applyFont="1" applyBorder="1" applyAlignment="1">
      <alignment horizontal="center" vertical="center" wrapText="1"/>
    </xf>
    <xf numFmtId="14" fontId="4" fillId="0" borderId="16" xfId="3" applyNumberFormat="1" applyFont="1" applyBorder="1" applyAlignment="1">
      <alignment horizontal="center" vertical="center" wrapText="1"/>
    </xf>
    <xf numFmtId="14" fontId="4" fillId="0" borderId="14" xfId="3" applyNumberFormat="1" applyFont="1" applyBorder="1" applyAlignment="1">
      <alignment horizontal="center" vertical="distributed" wrapText="1"/>
    </xf>
    <xf numFmtId="14" fontId="4" fillId="0" borderId="15" xfId="3" applyNumberFormat="1" applyFont="1" applyBorder="1" applyAlignment="1">
      <alignment horizontal="center" vertical="distributed" wrapText="1"/>
    </xf>
    <xf numFmtId="14" fontId="4" fillId="0" borderId="16" xfId="3" applyNumberFormat="1" applyFont="1" applyBorder="1" applyAlignment="1">
      <alignment horizontal="center" vertical="distributed" wrapText="1"/>
    </xf>
    <xf numFmtId="1" fontId="36" fillId="0" borderId="17" xfId="3" applyNumberFormat="1" applyFont="1" applyBorder="1" applyAlignment="1">
      <alignment horizontal="left" vertical="center" wrapText="1"/>
    </xf>
    <xf numFmtId="0" fontId="45" fillId="5" borderId="8" xfId="3" applyFont="1" applyFill="1" applyBorder="1" applyAlignment="1">
      <alignment horizontal="right" vertical="center" wrapText="1"/>
    </xf>
    <xf numFmtId="0" fontId="45" fillId="5" borderId="9" xfId="3" applyFont="1" applyFill="1" applyBorder="1" applyAlignment="1">
      <alignment horizontal="right" vertical="center" wrapText="1"/>
    </xf>
    <xf numFmtId="0" fontId="45" fillId="5" borderId="10" xfId="3" applyFont="1" applyFill="1" applyBorder="1" applyAlignment="1">
      <alignment horizontal="right" vertical="center" wrapText="1"/>
    </xf>
    <xf numFmtId="1" fontId="39" fillId="2" borderId="0" xfId="0" applyNumberFormat="1" applyFont="1" applyFill="1" applyAlignment="1">
      <alignment vertical="center"/>
    </xf>
    <xf numFmtId="0" fontId="39" fillId="2" borderId="0" xfId="0" applyFont="1" applyFill="1" applyAlignment="1">
      <alignment vertical="center"/>
    </xf>
    <xf numFmtId="1" fontId="39" fillId="4" borderId="9" xfId="0" applyNumberFormat="1" applyFont="1" applyFill="1" applyBorder="1" applyAlignment="1">
      <alignment vertical="center"/>
    </xf>
    <xf numFmtId="1" fontId="36" fillId="0" borderId="84" xfId="3" applyNumberFormat="1" applyFont="1" applyBorder="1" applyAlignment="1">
      <alignment horizontal="left" vertical="top" wrapText="1"/>
    </xf>
    <xf numFmtId="0" fontId="36" fillId="2" borderId="84" xfId="3" applyFont="1" applyFill="1" applyBorder="1" applyAlignment="1">
      <alignment horizontal="left" vertical="center" wrapText="1"/>
    </xf>
    <xf numFmtId="0" fontId="36" fillId="2" borderId="34" xfId="3" applyFont="1" applyFill="1" applyBorder="1" applyAlignment="1">
      <alignment horizontal="left" vertical="center" wrapText="1"/>
    </xf>
    <xf numFmtId="0" fontId="39" fillId="4" borderId="9" xfId="0" applyFont="1" applyFill="1" applyBorder="1" applyAlignment="1">
      <alignment vertical="center"/>
    </xf>
    <xf numFmtId="0" fontId="39" fillId="4" borderId="10" xfId="0" applyFont="1" applyFill="1" applyBorder="1" applyAlignment="1">
      <alignment vertical="center"/>
    </xf>
    <xf numFmtId="1" fontId="36" fillId="2" borderId="17" xfId="3" applyNumberFormat="1" applyFont="1" applyFill="1" applyBorder="1" applyAlignment="1">
      <alignment horizontal="left" vertical="center" wrapText="1"/>
    </xf>
    <xf numFmtId="14" fontId="4" fillId="2" borderId="11" xfId="3" applyNumberFormat="1" applyFont="1" applyFill="1" applyBorder="1" applyAlignment="1">
      <alignment horizontal="center" vertical="center" wrapText="1"/>
    </xf>
    <xf numFmtId="14" fontId="4" fillId="2" borderId="12" xfId="3" applyNumberFormat="1" applyFont="1" applyFill="1" applyBorder="1" applyAlignment="1">
      <alignment horizontal="center" vertical="center" wrapText="1"/>
    </xf>
    <xf numFmtId="14" fontId="4" fillId="2" borderId="13" xfId="3" applyNumberFormat="1" applyFont="1" applyFill="1" applyBorder="1" applyAlignment="1">
      <alignment horizontal="center" vertical="center" wrapText="1"/>
    </xf>
    <xf numFmtId="14" fontId="4" fillId="2" borderId="11" xfId="3" applyNumberFormat="1" applyFont="1" applyFill="1" applyBorder="1" applyAlignment="1">
      <alignment horizontal="center" vertical="distributed" wrapText="1"/>
    </xf>
    <xf numFmtId="14" fontId="4" fillId="2" borderId="12" xfId="3" applyNumberFormat="1" applyFont="1" applyFill="1" applyBorder="1" applyAlignment="1">
      <alignment horizontal="center" vertical="distributed" wrapText="1"/>
    </xf>
    <xf numFmtId="14" fontId="4" fillId="2" borderId="13" xfId="3" applyNumberFormat="1" applyFont="1" applyFill="1" applyBorder="1" applyAlignment="1">
      <alignment horizontal="center" vertical="distributed" wrapText="1"/>
    </xf>
    <xf numFmtId="166" fontId="23" fillId="2" borderId="4" xfId="3" applyNumberFormat="1" applyFont="1" applyFill="1" applyBorder="1" applyAlignment="1">
      <alignment horizontal="left" vertical="center"/>
    </xf>
    <xf numFmtId="166" fontId="23" fillId="2" borderId="5" xfId="3" applyNumberFormat="1" applyFont="1" applyFill="1" applyBorder="1" applyAlignment="1">
      <alignment horizontal="left" vertical="center"/>
    </xf>
    <xf numFmtId="0" fontId="38" fillId="4" borderId="8" xfId="4" applyFont="1" applyFill="1" applyBorder="1" applyAlignment="1">
      <alignment horizontal="center" vertical="center"/>
    </xf>
    <xf numFmtId="0" fontId="38" fillId="4" borderId="9" xfId="4" applyFont="1" applyFill="1" applyBorder="1" applyAlignment="1">
      <alignment horizontal="center" vertical="center"/>
    </xf>
    <xf numFmtId="0" fontId="38" fillId="4" borderId="10" xfId="4" applyFont="1" applyFill="1" applyBorder="1" applyAlignment="1">
      <alignment horizontal="center" vertical="center"/>
    </xf>
    <xf numFmtId="0" fontId="36" fillId="2" borderId="4" xfId="3" applyFont="1" applyFill="1" applyBorder="1" applyAlignment="1">
      <alignment horizontal="center" vertical="center" wrapText="1"/>
    </xf>
    <xf numFmtId="0" fontId="36" fillId="2" borderId="0" xfId="3" applyFont="1" applyFill="1" applyAlignment="1">
      <alignment horizontal="center" vertical="center" wrapText="1"/>
    </xf>
    <xf numFmtId="0" fontId="36" fillId="2" borderId="5" xfId="3" applyFont="1" applyFill="1" applyBorder="1" applyAlignment="1">
      <alignment horizontal="center" vertical="center" wrapText="1"/>
    </xf>
    <xf numFmtId="0" fontId="36" fillId="2" borderId="6" xfId="3" applyFont="1" applyFill="1" applyBorder="1" applyAlignment="1">
      <alignment horizontal="center" vertical="center" wrapText="1"/>
    </xf>
    <xf numFmtId="0" fontId="36" fillId="2" borderId="18" xfId="3" applyFont="1" applyFill="1" applyBorder="1" applyAlignment="1">
      <alignment horizontal="center" vertical="center" wrapText="1"/>
    </xf>
    <xf numFmtId="0" fontId="36" fillId="2" borderId="19" xfId="3" applyFont="1" applyFill="1" applyBorder="1" applyAlignment="1">
      <alignment horizontal="center" vertical="center" wrapText="1"/>
    </xf>
    <xf numFmtId="0" fontId="16" fillId="4" borderId="8" xfId="3" applyFont="1" applyFill="1" applyBorder="1" applyAlignment="1">
      <alignment horizontal="center" vertical="center"/>
    </xf>
    <xf numFmtId="0" fontId="16" fillId="4" borderId="9" xfId="3" applyFont="1" applyFill="1" applyBorder="1" applyAlignment="1">
      <alignment horizontal="center" vertical="center"/>
    </xf>
    <xf numFmtId="0" fontId="16" fillId="4" borderId="10" xfId="3" applyFont="1" applyFill="1" applyBorder="1" applyAlignment="1">
      <alignment horizontal="center" vertical="center"/>
    </xf>
    <xf numFmtId="0" fontId="24" fillId="2" borderId="1" xfId="3" applyFont="1" applyFill="1" applyBorder="1" applyAlignment="1">
      <alignment horizontal="left" vertical="center" wrapText="1"/>
    </xf>
    <xf numFmtId="0" fontId="24" fillId="2" borderId="3" xfId="3" applyFont="1" applyFill="1" applyBorder="1" applyAlignment="1">
      <alignment horizontal="left" vertical="center" wrapText="1"/>
    </xf>
    <xf numFmtId="0" fontId="24" fillId="2" borderId="4" xfId="3" applyFont="1" applyFill="1" applyBorder="1" applyAlignment="1">
      <alignment horizontal="left" vertical="center"/>
    </xf>
    <xf numFmtId="0" fontId="24" fillId="2" borderId="5" xfId="3" applyFont="1" applyFill="1" applyBorder="1" applyAlignment="1">
      <alignment horizontal="left" vertical="center"/>
    </xf>
    <xf numFmtId="0" fontId="42" fillId="5" borderId="8" xfId="3" applyFont="1" applyFill="1" applyBorder="1" applyAlignment="1">
      <alignment vertical="center" wrapText="1"/>
    </xf>
    <xf numFmtId="0" fontId="42" fillId="5" borderId="9" xfId="3" applyFont="1" applyFill="1" applyBorder="1" applyAlignment="1">
      <alignment vertical="center" wrapText="1"/>
    </xf>
    <xf numFmtId="0" fontId="42" fillId="5" borderId="10" xfId="3" applyFont="1" applyFill="1" applyBorder="1" applyAlignment="1">
      <alignment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0" fontId="42" fillId="5" borderId="10" xfId="0" applyFont="1" applyFill="1" applyBorder="1" applyAlignment="1">
      <alignment horizontal="center" vertical="center" wrapText="1"/>
    </xf>
    <xf numFmtId="14" fontId="4" fillId="0" borderId="32" xfId="3" applyNumberFormat="1" applyFont="1" applyBorder="1" applyAlignment="1">
      <alignment horizontal="center" vertical="center" wrapText="1"/>
    </xf>
    <xf numFmtId="14" fontId="4" fillId="0" borderId="40" xfId="3" applyNumberFormat="1" applyFont="1" applyBorder="1" applyAlignment="1">
      <alignment horizontal="center" vertical="center" wrapText="1"/>
    </xf>
    <xf numFmtId="14" fontId="4" fillId="0" borderId="30" xfId="3" applyNumberFormat="1" applyFont="1" applyBorder="1" applyAlignment="1">
      <alignment horizontal="center" vertical="center" wrapText="1"/>
    </xf>
    <xf numFmtId="0" fontId="3" fillId="0" borderId="31"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4" xfId="0" applyFont="1" applyBorder="1" applyAlignment="1">
      <alignment horizontal="center" vertical="center" wrapText="1"/>
    </xf>
    <xf numFmtId="1" fontId="39" fillId="7" borderId="9" xfId="0" applyNumberFormat="1" applyFont="1" applyFill="1" applyBorder="1" applyAlignment="1">
      <alignment vertical="center"/>
    </xf>
    <xf numFmtId="0" fontId="36" fillId="2" borderId="21" xfId="3" applyFont="1" applyFill="1" applyBorder="1" applyAlignment="1">
      <alignment horizontal="center" vertical="distributed" wrapText="1"/>
    </xf>
    <xf numFmtId="0" fontId="3" fillId="0" borderId="31" xfId="0" applyFont="1" applyBorder="1" applyAlignment="1">
      <alignment horizontal="left" vertical="center" wrapText="1"/>
    </xf>
    <xf numFmtId="0" fontId="3" fillId="0" borderId="17" xfId="0" applyFont="1" applyBorder="1" applyAlignment="1">
      <alignment horizontal="left" vertical="center" wrapText="1"/>
    </xf>
    <xf numFmtId="0" fontId="3" fillId="0" borderId="34" xfId="0" applyFont="1" applyBorder="1" applyAlignment="1">
      <alignment horizontal="left" vertical="center" wrapText="1"/>
    </xf>
    <xf numFmtId="0" fontId="36" fillId="2" borderId="21" xfId="3" applyFont="1" applyFill="1" applyBorder="1" applyAlignment="1">
      <alignment horizontal="center" vertical="center" wrapText="1"/>
    </xf>
    <xf numFmtId="0" fontId="36" fillId="2" borderId="7" xfId="4" applyFont="1" applyFill="1" applyBorder="1" applyAlignment="1">
      <alignment horizontal="center" vertical="center" wrapText="1"/>
    </xf>
    <xf numFmtId="14" fontId="4" fillId="2" borderId="32" xfId="3" applyNumberFormat="1" applyFont="1" applyFill="1" applyBorder="1" applyAlignment="1">
      <alignment horizontal="center" vertical="top" wrapText="1"/>
    </xf>
    <xf numFmtId="14" fontId="4" fillId="2" borderId="40" xfId="3" applyNumberFormat="1" applyFont="1" applyFill="1" applyBorder="1" applyAlignment="1">
      <alignment horizontal="center" vertical="top" wrapText="1"/>
    </xf>
    <xf numFmtId="14" fontId="4" fillId="2" borderId="30" xfId="3" applyNumberFormat="1" applyFont="1" applyFill="1" applyBorder="1" applyAlignment="1">
      <alignment horizontal="center" vertical="top" wrapText="1"/>
    </xf>
    <xf numFmtId="14" fontId="41" fillId="2" borderId="32" xfId="3" applyNumberFormat="1" applyFont="1" applyFill="1" applyBorder="1" applyAlignment="1">
      <alignment horizontal="center" vertical="center" wrapText="1"/>
    </xf>
    <xf numFmtId="14" fontId="41" fillId="2" borderId="40" xfId="3" applyNumberFormat="1" applyFont="1" applyFill="1" applyBorder="1" applyAlignment="1">
      <alignment horizontal="center" vertical="center" wrapText="1"/>
    </xf>
    <xf numFmtId="14" fontId="41" fillId="2" borderId="30" xfId="3" applyNumberFormat="1" applyFont="1" applyFill="1" applyBorder="1" applyAlignment="1">
      <alignment horizontal="center" vertical="center" wrapText="1"/>
    </xf>
    <xf numFmtId="0" fontId="90" fillId="2" borderId="0" xfId="3" applyFont="1" applyFill="1" applyAlignment="1">
      <alignment horizontal="right"/>
    </xf>
    <xf numFmtId="10" fontId="0" fillId="4" borderId="8" xfId="2" applyNumberFormat="1" applyFont="1" applyFill="1" applyBorder="1" applyAlignment="1">
      <alignment horizontal="center"/>
    </xf>
    <xf numFmtId="10" fontId="0" fillId="4" borderId="9" xfId="2" applyNumberFormat="1" applyFont="1" applyFill="1" applyBorder="1" applyAlignment="1">
      <alignment horizontal="center"/>
    </xf>
    <xf numFmtId="10" fontId="0" fillId="4" borderId="10" xfId="2" applyNumberFormat="1" applyFont="1" applyFill="1" applyBorder="1" applyAlignment="1">
      <alignment horizontal="center"/>
    </xf>
    <xf numFmtId="17" fontId="69" fillId="9" borderId="70" xfId="0" applyNumberFormat="1" applyFont="1" applyFill="1" applyBorder="1" applyAlignment="1">
      <alignment horizontal="center" vertical="center"/>
    </xf>
    <xf numFmtId="17" fontId="69" fillId="9" borderId="71" xfId="0" applyNumberFormat="1" applyFont="1" applyFill="1" applyBorder="1" applyAlignment="1">
      <alignment horizontal="center" vertical="center"/>
    </xf>
    <xf numFmtId="17" fontId="69" fillId="9" borderId="72" xfId="0" applyNumberFormat="1" applyFont="1" applyFill="1" applyBorder="1" applyAlignment="1">
      <alignment horizontal="center" vertical="center"/>
    </xf>
    <xf numFmtId="44" fontId="0" fillId="6" borderId="8" xfId="16" applyFont="1" applyFill="1" applyBorder="1" applyAlignment="1">
      <alignment horizontal="center" vertical="center"/>
    </xf>
    <xf numFmtId="44" fontId="0" fillId="6" borderId="9" xfId="16" applyFont="1" applyFill="1" applyBorder="1" applyAlignment="1">
      <alignment horizontal="center" vertical="center"/>
    </xf>
    <xf numFmtId="44" fontId="0" fillId="6" borderId="10" xfId="16" applyFont="1" applyFill="1" applyBorder="1" applyAlignment="1">
      <alignment horizontal="center" vertical="center"/>
    </xf>
    <xf numFmtId="44" fontId="0" fillId="0" borderId="8" xfId="16" applyFont="1" applyFill="1" applyBorder="1" applyAlignment="1">
      <alignment horizontal="center" vertical="center"/>
    </xf>
    <xf numFmtId="44" fontId="0" fillId="0" borderId="9" xfId="16" applyFont="1" applyFill="1" applyBorder="1" applyAlignment="1">
      <alignment horizontal="center" vertical="center"/>
    </xf>
    <xf numFmtId="44" fontId="0" fillId="0" borderId="10" xfId="16" applyFont="1" applyFill="1" applyBorder="1" applyAlignment="1">
      <alignment horizontal="center" vertical="center"/>
    </xf>
    <xf numFmtId="9" fontId="0" fillId="4" borderId="8" xfId="2" applyFont="1" applyFill="1" applyBorder="1" applyAlignment="1">
      <alignment horizontal="center"/>
    </xf>
    <xf numFmtId="9" fontId="0" fillId="4" borderId="9" xfId="2" applyFont="1" applyFill="1" applyBorder="1" applyAlignment="1">
      <alignment horizontal="center"/>
    </xf>
    <xf numFmtId="9" fontId="0" fillId="4" borderId="10" xfId="2" applyFont="1" applyFill="1" applyBorder="1" applyAlignment="1">
      <alignment horizontal="center"/>
    </xf>
    <xf numFmtId="10" fontId="0" fillId="6" borderId="8" xfId="2" applyNumberFormat="1" applyFont="1" applyFill="1" applyBorder="1" applyAlignment="1">
      <alignment horizontal="center"/>
    </xf>
    <xf numFmtId="10" fontId="0" fillId="6" borderId="9" xfId="2" applyNumberFormat="1" applyFont="1" applyFill="1" applyBorder="1" applyAlignment="1">
      <alignment horizontal="center"/>
    </xf>
    <xf numFmtId="10" fontId="0" fillId="6" borderId="10" xfId="2" applyNumberFormat="1" applyFont="1" applyFill="1" applyBorder="1" applyAlignment="1">
      <alignment horizontal="center"/>
    </xf>
    <xf numFmtId="10" fontId="0" fillId="4" borderId="8" xfId="2" applyNumberFormat="1" applyFont="1" applyFill="1" applyBorder="1" applyAlignment="1"/>
    <xf numFmtId="10" fontId="0" fillId="4" borderId="9" xfId="2" applyNumberFormat="1" applyFont="1" applyFill="1" applyBorder="1" applyAlignment="1"/>
    <xf numFmtId="10" fontId="0" fillId="4" borderId="10" xfId="2" applyNumberFormat="1" applyFont="1" applyFill="1" applyBorder="1" applyAlignment="1"/>
    <xf numFmtId="10" fontId="89" fillId="6" borderId="8" xfId="2" applyNumberFormat="1" applyFont="1" applyFill="1" applyBorder="1" applyAlignment="1">
      <alignment horizontal="center"/>
    </xf>
    <xf numFmtId="10" fontId="89" fillId="6" borderId="9" xfId="2" applyNumberFormat="1" applyFont="1" applyFill="1" applyBorder="1" applyAlignment="1">
      <alignment horizontal="center"/>
    </xf>
    <xf numFmtId="10" fontId="89" fillId="6" borderId="10" xfId="2" applyNumberFormat="1" applyFont="1" applyFill="1" applyBorder="1" applyAlignment="1">
      <alignment horizontal="center"/>
    </xf>
    <xf numFmtId="44" fontId="89" fillId="6" borderId="8" xfId="16" applyFont="1" applyFill="1" applyBorder="1" applyAlignment="1">
      <alignment horizontal="center" vertical="center"/>
    </xf>
    <xf numFmtId="44" fontId="89" fillId="6" borderId="9" xfId="16" applyFont="1" applyFill="1" applyBorder="1" applyAlignment="1">
      <alignment horizontal="center" vertical="center"/>
    </xf>
    <xf numFmtId="44" fontId="89" fillId="6" borderId="10" xfId="16" applyFont="1" applyFill="1" applyBorder="1" applyAlignment="1">
      <alignment horizontal="center" vertical="center"/>
    </xf>
    <xf numFmtId="10" fontId="0" fillId="4" borderId="8" xfId="0" applyNumberFormat="1" applyFill="1" applyBorder="1" applyAlignment="1">
      <alignment horizontal="center"/>
    </xf>
    <xf numFmtId="10" fontId="0" fillId="4" borderId="9" xfId="0" applyNumberFormat="1" applyFill="1" applyBorder="1" applyAlignment="1">
      <alignment horizontal="center"/>
    </xf>
    <xf numFmtId="10" fontId="0" fillId="4" borderId="10" xfId="0" applyNumberFormat="1" applyFill="1" applyBorder="1" applyAlignment="1">
      <alignment horizontal="center"/>
    </xf>
    <xf numFmtId="10" fontId="27" fillId="6" borderId="8" xfId="2" applyNumberFormat="1" applyFont="1" applyFill="1" applyBorder="1" applyAlignment="1">
      <alignment horizontal="center"/>
    </xf>
    <xf numFmtId="10" fontId="27" fillId="6" borderId="9" xfId="2" applyNumberFormat="1" applyFont="1" applyFill="1" applyBorder="1" applyAlignment="1">
      <alignment horizontal="center"/>
    </xf>
    <xf numFmtId="10" fontId="27" fillId="6" borderId="10" xfId="2" applyNumberFormat="1" applyFont="1" applyFill="1" applyBorder="1" applyAlignment="1">
      <alignment horizontal="center"/>
    </xf>
    <xf numFmtId="44" fontId="27" fillId="6" borderId="8" xfId="16" applyFont="1" applyFill="1" applyBorder="1" applyAlignment="1">
      <alignment horizontal="center" vertical="center"/>
    </xf>
    <xf numFmtId="44" fontId="27" fillId="6" borderId="9" xfId="16" applyFont="1" applyFill="1" applyBorder="1" applyAlignment="1">
      <alignment horizontal="center" vertical="center"/>
    </xf>
    <xf numFmtId="44" fontId="27" fillId="6" borderId="10" xfId="16" applyFont="1" applyFill="1" applyBorder="1" applyAlignment="1">
      <alignment horizontal="center" vertical="center"/>
    </xf>
    <xf numFmtId="44" fontId="0" fillId="0" borderId="77" xfId="16" applyFont="1" applyBorder="1" applyAlignment="1">
      <alignment horizontal="center"/>
    </xf>
    <xf numFmtId="44" fontId="0" fillId="0" borderId="78" xfId="16" applyFont="1" applyBorder="1" applyAlignment="1">
      <alignment horizontal="center"/>
    </xf>
    <xf numFmtId="44" fontId="0" fillId="0" borderId="79" xfId="16" applyFont="1" applyBorder="1" applyAlignment="1">
      <alignment horizontal="center"/>
    </xf>
    <xf numFmtId="10" fontId="0" fillId="0" borderId="8" xfId="0" applyNumberFormat="1" applyBorder="1" applyAlignment="1">
      <alignment horizontal="center"/>
    </xf>
    <xf numFmtId="10" fontId="0" fillId="0" borderId="9" xfId="0" applyNumberFormat="1" applyBorder="1" applyAlignment="1">
      <alignment horizontal="center"/>
    </xf>
    <xf numFmtId="10" fontId="0" fillId="0" borderId="10" xfId="0" applyNumberFormat="1" applyBorder="1" applyAlignment="1">
      <alignment horizontal="center"/>
    </xf>
    <xf numFmtId="44" fontId="0" fillId="6" borderId="8" xfId="16" applyFont="1" applyFill="1" applyBorder="1" applyAlignment="1">
      <alignment horizontal="center"/>
    </xf>
    <xf numFmtId="44" fontId="0" fillId="6" borderId="9" xfId="16" applyFont="1" applyFill="1" applyBorder="1" applyAlignment="1">
      <alignment horizontal="center"/>
    </xf>
    <xf numFmtId="44" fontId="0" fillId="6" borderId="10" xfId="16" applyFont="1" applyFill="1" applyBorder="1" applyAlignment="1">
      <alignment horizontal="center"/>
    </xf>
    <xf numFmtId="44" fontId="0" fillId="0" borderId="8" xfId="16" applyFont="1" applyBorder="1" applyAlignment="1">
      <alignment horizontal="center" vertical="center"/>
    </xf>
    <xf numFmtId="44" fontId="0" fillId="0" borderId="9" xfId="16" applyFont="1" applyBorder="1" applyAlignment="1">
      <alignment horizontal="center" vertical="center"/>
    </xf>
    <xf numFmtId="44" fontId="0" fillId="0" borderId="10" xfId="16" applyFont="1" applyBorder="1" applyAlignment="1">
      <alignment horizontal="center" vertical="center"/>
    </xf>
    <xf numFmtId="44" fontId="0" fillId="4" borderId="8" xfId="16" applyFont="1" applyFill="1" applyBorder="1" applyAlignment="1">
      <alignment horizontal="center" vertical="center"/>
    </xf>
    <xf numFmtId="44" fontId="0" fillId="4" borderId="9" xfId="16" applyFont="1" applyFill="1" applyBorder="1" applyAlignment="1">
      <alignment horizontal="center" vertical="center"/>
    </xf>
    <xf numFmtId="44" fontId="0" fillId="4" borderId="10" xfId="16" applyFont="1" applyFill="1" applyBorder="1" applyAlignment="1">
      <alignment horizontal="center" vertical="center"/>
    </xf>
    <xf numFmtId="44" fontId="0" fillId="0" borderId="8" xfId="16" applyFont="1" applyFill="1" applyBorder="1" applyAlignment="1">
      <alignment vertical="center"/>
    </xf>
    <xf numFmtId="44" fontId="0" fillId="0" borderId="9" xfId="16" applyFont="1" applyFill="1" applyBorder="1" applyAlignment="1">
      <alignment vertical="center"/>
    </xf>
    <xf numFmtId="44" fontId="0" fillId="0" borderId="10" xfId="16" applyFont="1" applyFill="1" applyBorder="1" applyAlignment="1">
      <alignment vertical="center"/>
    </xf>
    <xf numFmtId="0" fontId="0" fillId="0" borderId="0" xfId="0" applyAlignment="1">
      <alignment horizontal="center"/>
    </xf>
    <xf numFmtId="44" fontId="0" fillId="0" borderId="0" xfId="0" applyNumberFormat="1" applyAlignment="1">
      <alignment horizontal="center"/>
    </xf>
    <xf numFmtId="44" fontId="0" fillId="0" borderId="8" xfId="16" applyFont="1" applyFill="1" applyBorder="1" applyAlignment="1">
      <alignment horizontal="center"/>
    </xf>
    <xf numFmtId="44" fontId="0" fillId="0" borderId="75" xfId="16" applyFont="1" applyFill="1" applyBorder="1" applyAlignment="1">
      <alignment horizontal="center"/>
    </xf>
    <xf numFmtId="4" fontId="79" fillId="0" borderId="0" xfId="0" applyNumberFormat="1" applyFont="1" applyAlignment="1">
      <alignment horizontal="center"/>
    </xf>
    <xf numFmtId="10" fontId="0" fillId="0" borderId="75" xfId="0" applyNumberFormat="1" applyBorder="1" applyAlignment="1">
      <alignment horizontal="center"/>
    </xf>
    <xf numFmtId="44" fontId="0" fillId="4" borderId="8" xfId="16" applyFont="1" applyFill="1" applyBorder="1" applyAlignment="1">
      <alignment horizontal="center"/>
    </xf>
    <xf numFmtId="44" fontId="0" fillId="4" borderId="75" xfId="16" applyFont="1" applyFill="1" applyBorder="1" applyAlignment="1">
      <alignment horizontal="center"/>
    </xf>
    <xf numFmtId="10" fontId="0" fillId="4" borderId="75" xfId="0" applyNumberFormat="1" applyFill="1" applyBorder="1" applyAlignment="1">
      <alignment horizontal="center"/>
    </xf>
    <xf numFmtId="0" fontId="0" fillId="0" borderId="92"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4" fontId="71" fillId="0" borderId="31" xfId="16" applyFont="1" applyBorder="1" applyAlignment="1">
      <alignment horizontal="center" vertical="center"/>
    </xf>
    <xf numFmtId="44" fontId="71" fillId="0" borderId="84" xfId="16" applyFont="1" applyBorder="1" applyAlignment="1">
      <alignment horizontal="center" vertical="center"/>
    </xf>
    <xf numFmtId="44" fontId="71" fillId="0" borderId="86" xfId="16" applyFont="1" applyBorder="1" applyAlignment="1">
      <alignment horizontal="center" vertical="center"/>
    </xf>
    <xf numFmtId="0" fontId="0" fillId="0" borderId="93" xfId="0"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44" fontId="0" fillId="0" borderId="8" xfId="16" applyFont="1" applyBorder="1" applyAlignment="1">
      <alignment horizontal="center"/>
    </xf>
    <xf numFmtId="44" fontId="0" fillId="0" borderId="75" xfId="16" applyFont="1" applyBorder="1" applyAlignment="1">
      <alignment horizontal="center"/>
    </xf>
    <xf numFmtId="0" fontId="0" fillId="0" borderId="90" xfId="0" applyBorder="1" applyAlignment="1">
      <alignment horizontal="center" vertical="center"/>
    </xf>
    <xf numFmtId="0" fontId="0" fillId="0" borderId="91" xfId="0" applyBorder="1" applyAlignment="1">
      <alignment horizontal="center" vertical="center"/>
    </xf>
    <xf numFmtId="0" fontId="0" fillId="0" borderId="76" xfId="0" applyBorder="1" applyAlignment="1">
      <alignment horizontal="center" vertical="center"/>
    </xf>
    <xf numFmtId="0" fontId="69" fillId="0" borderId="1" xfId="0" applyFont="1" applyBorder="1" applyAlignment="1">
      <alignment horizontal="left" vertical="center" wrapText="1"/>
    </xf>
    <xf numFmtId="0" fontId="69" fillId="0" borderId="2" xfId="0" applyFont="1" applyBorder="1" applyAlignment="1">
      <alignment horizontal="left" vertical="center" wrapText="1"/>
    </xf>
    <xf numFmtId="0" fontId="69" fillId="0" borderId="3" xfId="0" applyFont="1" applyBorder="1" applyAlignment="1">
      <alignment horizontal="left" vertical="center" wrapText="1"/>
    </xf>
    <xf numFmtId="0" fontId="69" fillId="0" borderId="85" xfId="0" applyFont="1" applyBorder="1" applyAlignment="1">
      <alignment horizontal="left" vertical="center" wrapText="1"/>
    </xf>
    <xf numFmtId="0" fontId="69" fillId="0" borderId="0" xfId="0" applyFont="1" applyAlignment="1">
      <alignment horizontal="left" vertical="center" wrapText="1"/>
    </xf>
    <xf numFmtId="0" fontId="69" fillId="0" borderId="83" xfId="0" applyFont="1" applyBorder="1" applyAlignment="1">
      <alignment horizontal="left" vertical="center" wrapText="1"/>
    </xf>
    <xf numFmtId="0" fontId="69" fillId="0" borderId="6" xfId="0" applyFont="1" applyBorder="1" applyAlignment="1">
      <alignment horizontal="left" vertical="center" wrapText="1"/>
    </xf>
    <xf numFmtId="0" fontId="69" fillId="0" borderId="18" xfId="0" applyFont="1" applyBorder="1" applyAlignment="1">
      <alignment horizontal="left" vertical="center" wrapText="1"/>
    </xf>
    <xf numFmtId="0" fontId="69" fillId="0" borderId="19" xfId="0" applyFont="1" applyBorder="1" applyAlignment="1">
      <alignment horizontal="left" vertical="center" wrapText="1"/>
    </xf>
    <xf numFmtId="44" fontId="69" fillId="0" borderId="31" xfId="16" applyFont="1" applyBorder="1" applyAlignment="1">
      <alignment horizontal="center" vertical="center"/>
    </xf>
    <xf numFmtId="44" fontId="69" fillId="0" borderId="84" xfId="16" applyFont="1" applyBorder="1" applyAlignment="1">
      <alignment horizontal="center" vertical="center"/>
    </xf>
    <xf numFmtId="44" fontId="69" fillId="0" borderId="34" xfId="16" applyFont="1" applyBorder="1" applyAlignment="1">
      <alignment horizontal="center" vertical="center"/>
    </xf>
    <xf numFmtId="10" fontId="0" fillId="0" borderId="8" xfId="16" applyNumberFormat="1" applyFont="1" applyBorder="1" applyAlignment="1">
      <alignment horizontal="center"/>
    </xf>
    <xf numFmtId="39" fontId="0" fillId="0" borderId="8" xfId="0" applyNumberFormat="1" applyBorder="1" applyAlignment="1">
      <alignment horizontal="center" vertical="center"/>
    </xf>
    <xf numFmtId="39" fontId="0" fillId="0" borderId="9" xfId="0" applyNumberFormat="1" applyBorder="1" applyAlignment="1">
      <alignment horizontal="center" vertical="center"/>
    </xf>
    <xf numFmtId="39" fontId="0" fillId="0" borderId="10" xfId="0" applyNumberFormat="1" applyBorder="1" applyAlignment="1">
      <alignment horizontal="center" vertical="center"/>
    </xf>
    <xf numFmtId="44" fontId="69" fillId="10" borderId="31" xfId="16" applyFont="1" applyFill="1" applyBorder="1" applyAlignment="1">
      <alignment horizontal="center" vertical="center"/>
    </xf>
    <xf numFmtId="44" fontId="69" fillId="10" borderId="84" xfId="16" applyFont="1" applyFill="1" applyBorder="1" applyAlignment="1">
      <alignment horizontal="center" vertical="center"/>
    </xf>
    <xf numFmtId="44" fontId="69" fillId="10" borderId="34" xfId="16" applyFont="1" applyFill="1" applyBorder="1" applyAlignment="1">
      <alignment horizontal="center" vertical="center"/>
    </xf>
    <xf numFmtId="0" fontId="69" fillId="0" borderId="1" xfId="0" applyFont="1" applyBorder="1" applyAlignment="1">
      <alignment horizontal="left" vertical="center"/>
    </xf>
    <xf numFmtId="0" fontId="69" fillId="0" borderId="2" xfId="0" applyFont="1" applyBorder="1" applyAlignment="1">
      <alignment horizontal="left" vertical="center"/>
    </xf>
    <xf numFmtId="0" fontId="69" fillId="0" borderId="3" xfId="0" applyFont="1" applyBorder="1" applyAlignment="1">
      <alignment horizontal="left" vertical="center"/>
    </xf>
    <xf numFmtId="0" fontId="69" fillId="0" borderId="85" xfId="0" applyFont="1" applyBorder="1" applyAlignment="1">
      <alignment horizontal="left" vertical="center"/>
    </xf>
    <xf numFmtId="0" fontId="69" fillId="0" borderId="0" xfId="0" applyFont="1" applyAlignment="1">
      <alignment horizontal="left" vertical="center"/>
    </xf>
    <xf numFmtId="0" fontId="69" fillId="0" borderId="83" xfId="0" applyFont="1" applyBorder="1" applyAlignment="1">
      <alignment horizontal="left" vertical="center"/>
    </xf>
    <xf numFmtId="0" fontId="69" fillId="0" borderId="6" xfId="0" applyFont="1" applyBorder="1" applyAlignment="1">
      <alignment horizontal="left" vertical="center"/>
    </xf>
    <xf numFmtId="0" fontId="69" fillId="0" borderId="18" xfId="0" applyFont="1" applyBorder="1" applyAlignment="1">
      <alignment horizontal="left" vertical="center"/>
    </xf>
    <xf numFmtId="0" fontId="69" fillId="0" borderId="19" xfId="0" applyFont="1" applyBorder="1" applyAlignment="1">
      <alignment horizontal="left" vertical="center"/>
    </xf>
    <xf numFmtId="0" fontId="0" fillId="0" borderId="8" xfId="0" applyBorder="1" applyAlignment="1">
      <alignment horizontal="center"/>
    </xf>
    <xf numFmtId="0" fontId="0" fillId="0" borderId="75" xfId="0" applyBorder="1" applyAlignment="1">
      <alignment horizontal="center"/>
    </xf>
    <xf numFmtId="44" fontId="69" fillId="10" borderId="87" xfId="16" applyFont="1" applyFill="1" applyBorder="1" applyAlignment="1">
      <alignment horizontal="center" vertical="center"/>
    </xf>
    <xf numFmtId="0" fontId="69" fillId="9" borderId="73" xfId="0" applyFont="1" applyFill="1" applyBorder="1" applyAlignment="1">
      <alignment horizontal="center" vertical="center"/>
    </xf>
    <xf numFmtId="0" fontId="69" fillId="9" borderId="51" xfId="0" applyFont="1" applyFill="1" applyBorder="1" applyAlignment="1">
      <alignment horizontal="center" vertical="center"/>
    </xf>
    <xf numFmtId="0" fontId="69" fillId="9" borderId="6" xfId="0" applyFont="1" applyFill="1" applyBorder="1" applyAlignment="1">
      <alignment horizontal="center" vertical="center"/>
    </xf>
    <xf numFmtId="0" fontId="69" fillId="9" borderId="74" xfId="0" applyFont="1" applyFill="1" applyBorder="1" applyAlignment="1">
      <alignment horizontal="center" vertical="center"/>
    </xf>
    <xf numFmtId="0" fontId="26" fillId="9" borderId="70" xfId="0" applyFont="1" applyFill="1" applyBorder="1" applyAlignment="1">
      <alignment horizontal="center"/>
    </xf>
    <xf numFmtId="0" fontId="26" fillId="9" borderId="71" xfId="0" applyFont="1" applyFill="1" applyBorder="1" applyAlignment="1">
      <alignment horizontal="center"/>
    </xf>
    <xf numFmtId="0" fontId="26" fillId="9" borderId="72" xfId="0" applyFont="1" applyFill="1" applyBorder="1" applyAlignment="1">
      <alignment horizontal="center"/>
    </xf>
    <xf numFmtId="0" fontId="70" fillId="0" borderId="0" xfId="0" applyFont="1" applyAlignment="1">
      <alignment horizontal="center" vertical="center"/>
    </xf>
    <xf numFmtId="0" fontId="70" fillId="0" borderId="18" xfId="0" applyFont="1" applyBorder="1" applyAlignment="1">
      <alignment horizontal="center" vertical="center"/>
    </xf>
    <xf numFmtId="0" fontId="0" fillId="0" borderId="68"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2" xfId="0" applyBorder="1" applyAlignment="1">
      <alignment horizontal="center"/>
    </xf>
    <xf numFmtId="0" fontId="0" fillId="0" borderId="83" xfId="0" applyBorder="1" applyAlignment="1">
      <alignment horizontal="center"/>
    </xf>
    <xf numFmtId="0" fontId="69" fillId="0" borderId="1" xfId="0" applyFont="1" applyBorder="1" applyAlignment="1">
      <alignment vertical="center"/>
    </xf>
    <xf numFmtId="0" fontId="69" fillId="0" borderId="2" xfId="0" applyFont="1" applyBorder="1" applyAlignment="1">
      <alignment vertical="center"/>
    </xf>
    <xf numFmtId="0" fontId="69" fillId="0" borderId="3" xfId="0" applyFont="1" applyBorder="1" applyAlignment="1">
      <alignment vertical="center"/>
    </xf>
    <xf numFmtId="0" fontId="69" fillId="0" borderId="85" xfId="0" applyFont="1" applyBorder="1" applyAlignment="1">
      <alignment vertical="center"/>
    </xf>
    <xf numFmtId="0" fontId="69" fillId="0" borderId="0" xfId="0" applyFont="1" applyAlignment="1">
      <alignment vertical="center"/>
    </xf>
    <xf numFmtId="0" fontId="69" fillId="0" borderId="83" xfId="0" applyFont="1" applyBorder="1" applyAlignment="1">
      <alignment vertical="center"/>
    </xf>
    <xf numFmtId="0" fontId="0" fillId="0" borderId="85" xfId="0" applyBorder="1" applyAlignment="1">
      <alignment vertical="center"/>
    </xf>
    <xf numFmtId="0" fontId="0" fillId="0" borderId="0" xfId="0" applyAlignment="1">
      <alignment vertical="center"/>
    </xf>
    <xf numFmtId="0" fontId="0" fillId="0" borderId="83" xfId="0" applyBorder="1" applyAlignment="1">
      <alignment vertical="center"/>
    </xf>
    <xf numFmtId="0" fontId="0" fillId="0" borderId="6" xfId="0" applyBorder="1"/>
    <xf numFmtId="0" fontId="0" fillId="0" borderId="18" xfId="0" applyBorder="1"/>
    <xf numFmtId="0" fontId="0" fillId="0" borderId="19" xfId="0" applyBorder="1"/>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6" xfId="0" applyBorder="1" applyAlignment="1">
      <alignment vertical="center" wrapText="1"/>
    </xf>
    <xf numFmtId="0" fontId="0" fillId="0" borderId="18" xfId="0" applyBorder="1" applyAlignment="1">
      <alignment vertical="center" wrapText="1"/>
    </xf>
    <xf numFmtId="0" fontId="0" fillId="0" borderId="19" xfId="0" applyBorder="1" applyAlignment="1">
      <alignment vertical="center" wrapText="1"/>
    </xf>
    <xf numFmtId="44" fontId="0" fillId="0" borderId="9" xfId="16" applyFont="1" applyFill="1" applyBorder="1" applyAlignment="1">
      <alignment horizontal="center"/>
    </xf>
    <xf numFmtId="44" fontId="0" fillId="0" borderId="10" xfId="16" applyFont="1" applyFill="1" applyBorder="1" applyAlignment="1">
      <alignment horizontal="center"/>
    </xf>
    <xf numFmtId="0" fontId="69" fillId="0" borderId="54" xfId="0" applyFont="1" applyBorder="1" applyAlignment="1">
      <alignment horizontal="center" vertical="center"/>
    </xf>
    <xf numFmtId="0" fontId="69" fillId="0" borderId="55" xfId="0" applyFont="1" applyBorder="1" applyAlignment="1">
      <alignment horizontal="center" vertical="center"/>
    </xf>
    <xf numFmtId="0" fontId="69" fillId="0" borderId="56" xfId="0" applyFont="1" applyBorder="1" applyAlignment="1">
      <alignment horizontal="center" vertical="center"/>
    </xf>
    <xf numFmtId="0" fontId="69" fillId="0" borderId="89" xfId="0" applyFont="1" applyBorder="1" applyAlignment="1">
      <alignment horizontal="center" vertical="center"/>
    </xf>
    <xf numFmtId="0" fontId="69" fillId="0" borderId="76" xfId="0" applyFont="1" applyBorder="1" applyAlignment="1">
      <alignment horizontal="center" vertical="center"/>
    </xf>
    <xf numFmtId="0" fontId="69" fillId="0" borderId="73" xfId="0" applyFont="1" applyBorder="1" applyAlignment="1">
      <alignment horizontal="center" vertical="center"/>
    </xf>
    <xf numFmtId="0" fontId="69" fillId="0" borderId="50" xfId="0" applyFont="1" applyBorder="1" applyAlignment="1">
      <alignment horizontal="center" vertical="center"/>
    </xf>
    <xf numFmtId="0" fontId="69" fillId="0" borderId="88" xfId="0" applyFont="1" applyBorder="1" applyAlignment="1">
      <alignment horizontal="center" vertical="center"/>
    </xf>
    <xf numFmtId="0" fontId="69" fillId="0" borderId="6" xfId="0" applyFont="1" applyBorder="1" applyAlignment="1">
      <alignment horizontal="center" vertical="center"/>
    </xf>
    <xf numFmtId="0" fontId="69" fillId="0" borderId="18" xfId="0" applyFont="1" applyBorder="1" applyAlignment="1">
      <alignment horizontal="center" vertical="center"/>
    </xf>
    <xf numFmtId="0" fontId="69" fillId="0" borderId="19" xfId="0" applyFont="1" applyBorder="1" applyAlignment="1">
      <alignment horizontal="center" vertical="center"/>
    </xf>
    <xf numFmtId="44" fontId="69" fillId="0" borderId="87" xfId="16" applyFont="1" applyBorder="1" applyAlignment="1">
      <alignment horizontal="center" vertical="center"/>
    </xf>
    <xf numFmtId="44" fontId="71" fillId="10" borderId="31" xfId="16" applyFont="1" applyFill="1" applyBorder="1" applyAlignment="1">
      <alignment horizontal="center" vertical="center"/>
    </xf>
    <xf numFmtId="44" fontId="71" fillId="10" borderId="84" xfId="16" applyFont="1" applyFill="1" applyBorder="1" applyAlignment="1">
      <alignment horizontal="center" vertical="center"/>
    </xf>
    <xf numFmtId="44" fontId="71" fillId="10" borderId="86" xfId="16" applyFont="1" applyFill="1" applyBorder="1" applyAlignment="1">
      <alignment horizontal="center" vertical="center"/>
    </xf>
  </cellXfs>
  <cellStyles count="38">
    <cellStyle name="Moeda" xfId="16" builtinId="4"/>
    <cellStyle name="Moeda 2 3 2" xfId="15" xr:uid="{00000000-0005-0000-0000-000001000000}"/>
    <cellStyle name="Moeda 5 2" xfId="29" xr:uid="{00000000-0005-0000-0000-000002000000}"/>
    <cellStyle name="Normal" xfId="0" builtinId="0"/>
    <cellStyle name="Normal 101" xfId="5" xr:uid="{00000000-0005-0000-0000-000004000000}"/>
    <cellStyle name="Normal 12 2" xfId="27" xr:uid="{00000000-0005-0000-0000-000005000000}"/>
    <cellStyle name="Normal 16 2" xfId="7" xr:uid="{00000000-0005-0000-0000-000006000000}"/>
    <cellStyle name="Normal 2" xfId="18" xr:uid="{00000000-0005-0000-0000-000007000000}"/>
    <cellStyle name="Normal 2 10" xfId="12" xr:uid="{00000000-0005-0000-0000-000008000000}"/>
    <cellStyle name="Normal 2 14 2" xfId="10" xr:uid="{00000000-0005-0000-0000-000009000000}"/>
    <cellStyle name="Normal 2 3" xfId="28" xr:uid="{00000000-0005-0000-0000-00000A000000}"/>
    <cellStyle name="Normal 21 2" xfId="24" xr:uid="{00000000-0005-0000-0000-00000B000000}"/>
    <cellStyle name="Normal 3" xfId="32" xr:uid="{00000000-0005-0000-0000-00000C000000}"/>
    <cellStyle name="Normal 3 10" xfId="6" xr:uid="{00000000-0005-0000-0000-00000D000000}"/>
    <cellStyle name="Normal 4" xfId="13" xr:uid="{00000000-0005-0000-0000-00000E000000}"/>
    <cellStyle name="Normal 4 2" xfId="23" xr:uid="{00000000-0005-0000-0000-00000F000000}"/>
    <cellStyle name="Normal 4 2 10 2" xfId="3" xr:uid="{00000000-0005-0000-0000-000010000000}"/>
    <cellStyle name="Normal 68" xfId="9" xr:uid="{00000000-0005-0000-0000-000011000000}"/>
    <cellStyle name="Normal 69" xfId="11" xr:uid="{00000000-0005-0000-0000-000012000000}"/>
    <cellStyle name="Normal 8" xfId="25" xr:uid="{00000000-0005-0000-0000-000013000000}"/>
    <cellStyle name="Normal_PLANILHA e RESUMO ORIGINAL (MEDIÇÃO)" xfId="4" xr:uid="{00000000-0005-0000-0000-000014000000}"/>
    <cellStyle name="Porcentagem" xfId="2" builtinId="5"/>
    <cellStyle name="Porcentagem 2" xfId="19" xr:uid="{00000000-0005-0000-0000-000016000000}"/>
    <cellStyle name="Porcentagem 5" xfId="17" xr:uid="{00000000-0005-0000-0000-000017000000}"/>
    <cellStyle name="Porcentagem 5 2" xfId="26" xr:uid="{00000000-0005-0000-0000-000018000000}"/>
    <cellStyle name="Porcentagem 5 3" xfId="35" xr:uid="{00000000-0005-0000-0000-000019000000}"/>
    <cellStyle name="Porcentagem 5 4" xfId="37" xr:uid="{00000000-0005-0000-0000-00001A000000}"/>
    <cellStyle name="Porcentagem 5 5" xfId="36" xr:uid="{00000000-0005-0000-0000-00001B000000}"/>
    <cellStyle name="Porcentagem 5 6" xfId="34" xr:uid="{00000000-0005-0000-0000-00001C000000}"/>
    <cellStyle name="Porcentagem 5 7" xfId="33" xr:uid="{00000000-0005-0000-0000-00001D000000}"/>
    <cellStyle name="Porcentagem 5 8" xfId="31" xr:uid="{00000000-0005-0000-0000-00001E000000}"/>
    <cellStyle name="Porcentagem 8 2" xfId="30" xr:uid="{00000000-0005-0000-0000-00001F000000}"/>
    <cellStyle name="Separador de milhares 11 4" xfId="8" xr:uid="{00000000-0005-0000-0000-000020000000}"/>
    <cellStyle name="Separador de milhares 2" xfId="20" xr:uid="{00000000-0005-0000-0000-000021000000}"/>
    <cellStyle name="Separador de milhares 3 2" xfId="21" xr:uid="{00000000-0005-0000-0000-000022000000}"/>
    <cellStyle name="Vírgula" xfId="1" builtinId="3"/>
    <cellStyle name="Vírgula 2" xfId="22" xr:uid="{00000000-0005-0000-0000-000024000000}"/>
    <cellStyle name="Vírgula 2 3 2" xfId="14" xr:uid="{00000000-0005-0000-0000-000025000000}"/>
  </cellStyles>
  <dxfs count="2">
    <dxf>
      <font>
        <b/>
        <i val="0"/>
        <color rgb="FFFF0000"/>
      </font>
      <fill>
        <patternFill>
          <bgColor rgb="FFFFFF00"/>
        </patternFill>
      </fill>
    </dxf>
    <dxf>
      <font>
        <b/>
        <i val="0"/>
        <strike val="0"/>
        <color rgb="FFFF0000"/>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theme" Target="theme/theme1.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8" Type="http://schemas.openxmlformats.org/officeDocument/2006/relationships/externalLink" Target="externalLinks/externalLink2.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8.jpeg"/><Relationship Id="rId21" Type="http://schemas.openxmlformats.org/officeDocument/2006/relationships/image" Target="../media/image23.jpeg"/><Relationship Id="rId42" Type="http://schemas.openxmlformats.org/officeDocument/2006/relationships/image" Target="../media/image44.jpeg"/><Relationship Id="rId47" Type="http://schemas.openxmlformats.org/officeDocument/2006/relationships/image" Target="../media/image49.jpeg"/><Relationship Id="rId63" Type="http://schemas.openxmlformats.org/officeDocument/2006/relationships/image" Target="../media/image65.jpeg"/><Relationship Id="rId68" Type="http://schemas.openxmlformats.org/officeDocument/2006/relationships/image" Target="../media/image70.jpeg"/><Relationship Id="rId84" Type="http://schemas.openxmlformats.org/officeDocument/2006/relationships/image" Target="../media/image86.jpeg"/><Relationship Id="rId16" Type="http://schemas.openxmlformats.org/officeDocument/2006/relationships/image" Target="../media/image18.jpeg"/><Relationship Id="rId11" Type="http://schemas.openxmlformats.org/officeDocument/2006/relationships/image" Target="../media/image13.jpeg"/><Relationship Id="rId32" Type="http://schemas.openxmlformats.org/officeDocument/2006/relationships/image" Target="../media/image34.jpeg"/><Relationship Id="rId37" Type="http://schemas.openxmlformats.org/officeDocument/2006/relationships/image" Target="../media/image39.jpeg"/><Relationship Id="rId53" Type="http://schemas.openxmlformats.org/officeDocument/2006/relationships/image" Target="../media/image55.jpeg"/><Relationship Id="rId58" Type="http://schemas.openxmlformats.org/officeDocument/2006/relationships/image" Target="../media/image60.jpeg"/><Relationship Id="rId74" Type="http://schemas.openxmlformats.org/officeDocument/2006/relationships/image" Target="../media/image76.jpeg"/><Relationship Id="rId79" Type="http://schemas.openxmlformats.org/officeDocument/2006/relationships/image" Target="../media/image81.jpeg"/><Relationship Id="rId5" Type="http://schemas.openxmlformats.org/officeDocument/2006/relationships/image" Target="../media/image7.jpeg"/><Relationship Id="rId19" Type="http://schemas.openxmlformats.org/officeDocument/2006/relationships/image" Target="../media/image21.jpe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jpeg"/><Relationship Id="rId35" Type="http://schemas.openxmlformats.org/officeDocument/2006/relationships/image" Target="../media/image37.jpeg"/><Relationship Id="rId43" Type="http://schemas.openxmlformats.org/officeDocument/2006/relationships/image" Target="../media/image45.jpeg"/><Relationship Id="rId48" Type="http://schemas.openxmlformats.org/officeDocument/2006/relationships/image" Target="../media/image50.jpeg"/><Relationship Id="rId56" Type="http://schemas.openxmlformats.org/officeDocument/2006/relationships/image" Target="../media/image58.jpeg"/><Relationship Id="rId64" Type="http://schemas.openxmlformats.org/officeDocument/2006/relationships/image" Target="../media/image66.jpeg"/><Relationship Id="rId69" Type="http://schemas.openxmlformats.org/officeDocument/2006/relationships/image" Target="../media/image71.jpeg"/><Relationship Id="rId77" Type="http://schemas.openxmlformats.org/officeDocument/2006/relationships/image" Target="../media/image79.jpeg"/><Relationship Id="rId8" Type="http://schemas.openxmlformats.org/officeDocument/2006/relationships/image" Target="../media/image10.jpeg"/><Relationship Id="rId51" Type="http://schemas.openxmlformats.org/officeDocument/2006/relationships/image" Target="../media/image53.jpeg"/><Relationship Id="rId72" Type="http://schemas.openxmlformats.org/officeDocument/2006/relationships/image" Target="../media/image74.jpeg"/><Relationship Id="rId80" Type="http://schemas.openxmlformats.org/officeDocument/2006/relationships/image" Target="../media/image82.jpeg"/><Relationship Id="rId85" Type="http://schemas.openxmlformats.org/officeDocument/2006/relationships/image" Target="../media/image87.jpeg"/><Relationship Id="rId3" Type="http://schemas.openxmlformats.org/officeDocument/2006/relationships/image" Target="../media/image5.pn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33" Type="http://schemas.openxmlformats.org/officeDocument/2006/relationships/image" Target="../media/image35.jpeg"/><Relationship Id="rId38" Type="http://schemas.openxmlformats.org/officeDocument/2006/relationships/image" Target="../media/image40.jpeg"/><Relationship Id="rId46" Type="http://schemas.openxmlformats.org/officeDocument/2006/relationships/image" Target="../media/image48.jpeg"/><Relationship Id="rId59" Type="http://schemas.openxmlformats.org/officeDocument/2006/relationships/image" Target="../media/image61.jpeg"/><Relationship Id="rId67" Type="http://schemas.openxmlformats.org/officeDocument/2006/relationships/image" Target="../media/image69.jpeg"/><Relationship Id="rId20" Type="http://schemas.openxmlformats.org/officeDocument/2006/relationships/image" Target="../media/image22.jpeg"/><Relationship Id="rId41" Type="http://schemas.openxmlformats.org/officeDocument/2006/relationships/image" Target="../media/image43.jpeg"/><Relationship Id="rId54" Type="http://schemas.openxmlformats.org/officeDocument/2006/relationships/image" Target="../media/image56.jpeg"/><Relationship Id="rId62" Type="http://schemas.openxmlformats.org/officeDocument/2006/relationships/image" Target="../media/image64.jpeg"/><Relationship Id="rId70" Type="http://schemas.openxmlformats.org/officeDocument/2006/relationships/image" Target="../media/image72.jpeg"/><Relationship Id="rId75" Type="http://schemas.openxmlformats.org/officeDocument/2006/relationships/image" Target="../media/image77.jpeg"/><Relationship Id="rId83" Type="http://schemas.openxmlformats.org/officeDocument/2006/relationships/image" Target="../media/image85.jpeg"/><Relationship Id="rId1" Type="http://schemas.openxmlformats.org/officeDocument/2006/relationships/image" Target="../media/image3.png"/><Relationship Id="rId6" Type="http://schemas.openxmlformats.org/officeDocument/2006/relationships/image" Target="../media/image8.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jpeg"/><Relationship Id="rId36" Type="http://schemas.openxmlformats.org/officeDocument/2006/relationships/image" Target="../media/image38.jpeg"/><Relationship Id="rId49" Type="http://schemas.openxmlformats.org/officeDocument/2006/relationships/image" Target="../media/image51.jpeg"/><Relationship Id="rId57" Type="http://schemas.openxmlformats.org/officeDocument/2006/relationships/image" Target="../media/image59.jpeg"/><Relationship Id="rId10" Type="http://schemas.openxmlformats.org/officeDocument/2006/relationships/image" Target="../media/image12.jpeg"/><Relationship Id="rId31" Type="http://schemas.openxmlformats.org/officeDocument/2006/relationships/image" Target="../media/image33.jpeg"/><Relationship Id="rId44" Type="http://schemas.openxmlformats.org/officeDocument/2006/relationships/image" Target="../media/image46.jpeg"/><Relationship Id="rId52" Type="http://schemas.openxmlformats.org/officeDocument/2006/relationships/image" Target="../media/image54.jpeg"/><Relationship Id="rId60" Type="http://schemas.openxmlformats.org/officeDocument/2006/relationships/image" Target="../media/image62.jpeg"/><Relationship Id="rId65" Type="http://schemas.openxmlformats.org/officeDocument/2006/relationships/image" Target="../media/image67.jpeg"/><Relationship Id="rId73" Type="http://schemas.openxmlformats.org/officeDocument/2006/relationships/image" Target="../media/image75.jpeg"/><Relationship Id="rId78" Type="http://schemas.openxmlformats.org/officeDocument/2006/relationships/image" Target="../media/image80.jpeg"/><Relationship Id="rId81" Type="http://schemas.openxmlformats.org/officeDocument/2006/relationships/image" Target="../media/image83.jpeg"/><Relationship Id="rId86" Type="http://schemas.openxmlformats.org/officeDocument/2006/relationships/image" Target="../media/image88.jpeg"/><Relationship Id="rId4" Type="http://schemas.openxmlformats.org/officeDocument/2006/relationships/image" Target="../media/image6.jpeg"/><Relationship Id="rId9" Type="http://schemas.openxmlformats.org/officeDocument/2006/relationships/image" Target="../media/image11.jpeg"/><Relationship Id="rId13" Type="http://schemas.openxmlformats.org/officeDocument/2006/relationships/image" Target="../media/image15.jpeg"/><Relationship Id="rId18" Type="http://schemas.openxmlformats.org/officeDocument/2006/relationships/image" Target="../media/image20.jpeg"/><Relationship Id="rId39" Type="http://schemas.openxmlformats.org/officeDocument/2006/relationships/image" Target="../media/image41.jpeg"/><Relationship Id="rId34" Type="http://schemas.openxmlformats.org/officeDocument/2006/relationships/image" Target="../media/image36.jpeg"/><Relationship Id="rId50" Type="http://schemas.openxmlformats.org/officeDocument/2006/relationships/image" Target="../media/image52.jpeg"/><Relationship Id="rId55" Type="http://schemas.openxmlformats.org/officeDocument/2006/relationships/image" Target="../media/image57.jpeg"/><Relationship Id="rId76" Type="http://schemas.openxmlformats.org/officeDocument/2006/relationships/image" Target="../media/image78.jpeg"/><Relationship Id="rId7" Type="http://schemas.openxmlformats.org/officeDocument/2006/relationships/image" Target="../media/image9.jpeg"/><Relationship Id="rId71" Type="http://schemas.openxmlformats.org/officeDocument/2006/relationships/image" Target="../media/image73.jpeg"/><Relationship Id="rId2" Type="http://schemas.openxmlformats.org/officeDocument/2006/relationships/image" Target="../media/image4.png"/><Relationship Id="rId29" Type="http://schemas.openxmlformats.org/officeDocument/2006/relationships/image" Target="../media/image31.jpeg"/><Relationship Id="rId24" Type="http://schemas.openxmlformats.org/officeDocument/2006/relationships/image" Target="../media/image26.jpeg"/><Relationship Id="rId40" Type="http://schemas.openxmlformats.org/officeDocument/2006/relationships/image" Target="../media/image42.jpeg"/><Relationship Id="rId45" Type="http://schemas.openxmlformats.org/officeDocument/2006/relationships/image" Target="../media/image47.jpeg"/><Relationship Id="rId66" Type="http://schemas.openxmlformats.org/officeDocument/2006/relationships/image" Target="../media/image68.jpeg"/><Relationship Id="rId61" Type="http://schemas.openxmlformats.org/officeDocument/2006/relationships/image" Target="../media/image63.jpeg"/><Relationship Id="rId82" Type="http://schemas.openxmlformats.org/officeDocument/2006/relationships/image" Target="../media/image8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0.png"/><Relationship Id="rId2" Type="http://schemas.openxmlformats.org/officeDocument/2006/relationships/image" Target="../media/image89.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92.png"/><Relationship Id="rId1" Type="http://schemas.openxmlformats.org/officeDocument/2006/relationships/image" Target="../media/image91.wmf"/></Relationships>
</file>

<file path=xl/drawings/_rels/drawing5.xml.rels><?xml version="1.0" encoding="UTF-8" standalone="yes"?>
<Relationships xmlns="http://schemas.openxmlformats.org/package/2006/relationships"><Relationship Id="rId1" Type="http://schemas.openxmlformats.org/officeDocument/2006/relationships/image" Target="../media/image93.png"/></Relationships>
</file>

<file path=xl/drawings/drawing1.xml><?xml version="1.0" encoding="utf-8"?>
<xdr:wsDr xmlns:xdr="http://schemas.openxmlformats.org/drawingml/2006/spreadsheetDrawing" xmlns:a="http://schemas.openxmlformats.org/drawingml/2006/main">
  <xdr:twoCellAnchor>
    <xdr:from>
      <xdr:col>1</xdr:col>
      <xdr:colOff>39781</xdr:colOff>
      <xdr:row>1</xdr:row>
      <xdr:rowOff>95250</xdr:rowOff>
    </xdr:from>
    <xdr:to>
      <xdr:col>2</xdr:col>
      <xdr:colOff>173131</xdr:colOff>
      <xdr:row>5</xdr:row>
      <xdr:rowOff>53892</xdr:rowOff>
    </xdr:to>
    <xdr:pic>
      <xdr:nvPicPr>
        <xdr:cNvPr id="2" name="Imagem 10">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cstate="screen">
          <a:lum contrast="18000"/>
          <a:extLst>
            <a:ext uri="{28A0092B-C50C-407E-A947-70E740481C1C}">
              <a14:useLocalDpi xmlns:a14="http://schemas.microsoft.com/office/drawing/2010/main"/>
            </a:ext>
          </a:extLst>
        </a:blip>
        <a:srcRect/>
        <a:stretch>
          <a:fillRect/>
        </a:stretch>
      </xdr:blipFill>
      <xdr:spPr bwMode="auto">
        <a:xfrm>
          <a:off x="773206" y="295275"/>
          <a:ext cx="1143000" cy="758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133349</xdr:colOff>
      <xdr:row>1</xdr:row>
      <xdr:rowOff>133350</xdr:rowOff>
    </xdr:from>
    <xdr:to>
      <xdr:col>4</xdr:col>
      <xdr:colOff>193477</xdr:colOff>
      <xdr:row>5</xdr:row>
      <xdr:rowOff>37040</xdr:rowOff>
    </xdr:to>
    <xdr:pic>
      <xdr:nvPicPr>
        <xdr:cNvPr id="3" name="Imagem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200899" y="333375"/>
          <a:ext cx="824033" cy="703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47625</xdr:rowOff>
    </xdr:from>
    <xdr:to>
      <xdr:col>14</xdr:col>
      <xdr:colOff>0</xdr:colOff>
      <xdr:row>5</xdr:row>
      <xdr:rowOff>9525</xdr:rowOff>
    </xdr:to>
    <xdr:sp macro="" textlink="">
      <xdr:nvSpPr>
        <xdr:cNvPr id="63" name="Rectangle 5">
          <a:extLst>
            <a:ext uri="{FF2B5EF4-FFF2-40B4-BE49-F238E27FC236}">
              <a16:creationId xmlns:a16="http://schemas.microsoft.com/office/drawing/2014/main" id="{00000000-0008-0000-0100-00003F000000}"/>
            </a:ext>
          </a:extLst>
        </xdr:cNvPr>
        <xdr:cNvSpPr>
          <a:spLocks noChangeArrowheads="1"/>
        </xdr:cNvSpPr>
      </xdr:nvSpPr>
      <xdr:spPr bwMode="auto">
        <a:xfrm>
          <a:off x="9525" y="923925"/>
          <a:ext cx="5838825" cy="66675"/>
        </a:xfrm>
        <a:prstGeom prst="rect">
          <a:avLst/>
        </a:prstGeom>
        <a:solidFill>
          <a:srgbClr val="003366"/>
        </a:solidFill>
        <a:ln w="9525">
          <a:noFill/>
          <a:miter lim="800000"/>
          <a:headEnd/>
          <a:tailEnd/>
        </a:ln>
      </xdr:spPr>
    </xdr:sp>
    <xdr:clientData/>
  </xdr:twoCellAnchor>
  <xdr:twoCellAnchor>
    <xdr:from>
      <xdr:col>5</xdr:col>
      <xdr:colOff>38100</xdr:colOff>
      <xdr:row>0</xdr:row>
      <xdr:rowOff>47625</xdr:rowOff>
    </xdr:from>
    <xdr:to>
      <xdr:col>12</xdr:col>
      <xdr:colOff>57150</xdr:colOff>
      <xdr:row>3</xdr:row>
      <xdr:rowOff>38100</xdr:rowOff>
    </xdr:to>
    <xdr:grpSp>
      <xdr:nvGrpSpPr>
        <xdr:cNvPr id="65" name="Grupo 64">
          <a:extLst>
            <a:ext uri="{FF2B5EF4-FFF2-40B4-BE49-F238E27FC236}">
              <a16:creationId xmlns:a16="http://schemas.microsoft.com/office/drawing/2014/main" id="{00000000-0008-0000-0100-000041000000}"/>
            </a:ext>
          </a:extLst>
        </xdr:cNvPr>
        <xdr:cNvGrpSpPr/>
      </xdr:nvGrpSpPr>
      <xdr:grpSpPr>
        <a:xfrm>
          <a:off x="2272273" y="47625"/>
          <a:ext cx="2701458" cy="662828"/>
          <a:chOff x="8496300" y="2952750"/>
          <a:chExt cx="2914650" cy="638175"/>
        </a:xfrm>
      </xdr:grpSpPr>
      <xdr:pic>
        <xdr:nvPicPr>
          <xdr:cNvPr id="66" name="Imagem 1">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0" y="3038475"/>
            <a:ext cx="16478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7" name="Imagem 1">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96300" y="2952750"/>
            <a:ext cx="466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1" name="Imagem 1">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67775" y="3314700"/>
            <a:ext cx="25431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453099</xdr:colOff>
      <xdr:row>17</xdr:row>
      <xdr:rowOff>10938</xdr:rowOff>
    </xdr:from>
    <xdr:to>
      <xdr:col>7</xdr:col>
      <xdr:colOff>0</xdr:colOff>
      <xdr:row>25</xdr:row>
      <xdr:rowOff>42075</xdr:rowOff>
    </xdr:to>
    <xdr:pic>
      <xdr:nvPicPr>
        <xdr:cNvPr id="82" name="Imagem 8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099" y="11821938"/>
          <a:ext cx="2644597" cy="1562758"/>
        </a:xfrm>
        <a:prstGeom prst="rect">
          <a:avLst/>
        </a:prstGeom>
      </xdr:spPr>
    </xdr:pic>
    <xdr:clientData/>
  </xdr:twoCellAnchor>
  <xdr:twoCellAnchor editAs="oneCell">
    <xdr:from>
      <xdr:col>8</xdr:col>
      <xdr:colOff>64678</xdr:colOff>
      <xdr:row>47</xdr:row>
      <xdr:rowOff>24848</xdr:rowOff>
    </xdr:from>
    <xdr:to>
      <xdr:col>13</xdr:col>
      <xdr:colOff>414710</xdr:colOff>
      <xdr:row>54</xdr:row>
      <xdr:rowOff>148423</xdr:rowOff>
    </xdr:to>
    <xdr:pic>
      <xdr:nvPicPr>
        <xdr:cNvPr id="90" name="Imagem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74043" y="8236519"/>
          <a:ext cx="2591208" cy="1378633"/>
        </a:xfrm>
        <a:prstGeom prst="rect">
          <a:avLst/>
        </a:prstGeom>
      </xdr:spPr>
    </xdr:pic>
    <xdr:clientData/>
  </xdr:twoCellAnchor>
  <xdr:twoCellAnchor editAs="oneCell">
    <xdr:from>
      <xdr:col>8</xdr:col>
      <xdr:colOff>2883</xdr:colOff>
      <xdr:row>57</xdr:row>
      <xdr:rowOff>13244</xdr:rowOff>
    </xdr:from>
    <xdr:to>
      <xdr:col>13</xdr:col>
      <xdr:colOff>415373</xdr:colOff>
      <xdr:row>64</xdr:row>
      <xdr:rowOff>72953</xdr:rowOff>
    </xdr:to>
    <xdr:pic>
      <xdr:nvPicPr>
        <xdr:cNvPr id="91" name="Imagem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41992" y="20347048"/>
          <a:ext cx="2597856" cy="1295410"/>
        </a:xfrm>
        <a:prstGeom prst="rect">
          <a:avLst/>
        </a:prstGeom>
      </xdr:spPr>
    </xdr:pic>
    <xdr:clientData/>
  </xdr:twoCellAnchor>
  <xdr:twoCellAnchor editAs="oneCell">
    <xdr:from>
      <xdr:col>8</xdr:col>
      <xdr:colOff>22543</xdr:colOff>
      <xdr:row>17</xdr:row>
      <xdr:rowOff>16885</xdr:rowOff>
    </xdr:from>
    <xdr:to>
      <xdr:col>13</xdr:col>
      <xdr:colOff>412189</xdr:colOff>
      <xdr:row>25</xdr:row>
      <xdr:rowOff>34373</xdr:rowOff>
    </xdr:to>
    <xdr:pic>
      <xdr:nvPicPr>
        <xdr:cNvPr id="93" name="Imagem 92">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22943" y="2683885"/>
          <a:ext cx="2621217" cy="1585032"/>
        </a:xfrm>
        <a:prstGeom prst="rect">
          <a:avLst/>
        </a:prstGeom>
      </xdr:spPr>
    </xdr:pic>
    <xdr:clientData/>
  </xdr:twoCellAnchor>
  <xdr:twoCellAnchor editAs="oneCell">
    <xdr:from>
      <xdr:col>8</xdr:col>
      <xdr:colOff>49695</xdr:colOff>
      <xdr:row>27</xdr:row>
      <xdr:rowOff>16566</xdr:rowOff>
    </xdr:from>
    <xdr:to>
      <xdr:col>13</xdr:col>
      <xdr:colOff>423076</xdr:colOff>
      <xdr:row>35</xdr:row>
      <xdr:rowOff>3586</xdr:rowOff>
    </xdr:to>
    <xdr:pic>
      <xdr:nvPicPr>
        <xdr:cNvPr id="97" name="Imagem 96" descr="Banheiro .jpg">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8" cstate="print"/>
        <a:stretch>
          <a:fillRect/>
        </a:stretch>
      </xdr:blipFill>
      <xdr:spPr>
        <a:xfrm>
          <a:off x="3188804" y="14196392"/>
          <a:ext cx="2575892" cy="1386117"/>
        </a:xfrm>
        <a:prstGeom prst="rect">
          <a:avLst/>
        </a:prstGeom>
      </xdr:spPr>
    </xdr:pic>
    <xdr:clientData/>
  </xdr:twoCellAnchor>
  <xdr:twoCellAnchor editAs="oneCell">
    <xdr:from>
      <xdr:col>1</xdr:col>
      <xdr:colOff>25760</xdr:colOff>
      <xdr:row>27</xdr:row>
      <xdr:rowOff>25763</xdr:rowOff>
    </xdr:from>
    <xdr:to>
      <xdr:col>6</xdr:col>
      <xdr:colOff>416035</xdr:colOff>
      <xdr:row>35</xdr:row>
      <xdr:rowOff>34375</xdr:rowOff>
    </xdr:to>
    <xdr:pic>
      <xdr:nvPicPr>
        <xdr:cNvPr id="100" name="Imagem 99" descr="Banheiro 2.jpg">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9" cstate="print"/>
        <a:stretch>
          <a:fillRect/>
        </a:stretch>
      </xdr:blipFill>
      <xdr:spPr>
        <a:xfrm>
          <a:off x="489586" y="14205589"/>
          <a:ext cx="2583261" cy="1390564"/>
        </a:xfrm>
        <a:prstGeom prst="rect">
          <a:avLst/>
        </a:prstGeom>
      </xdr:spPr>
    </xdr:pic>
    <xdr:clientData/>
  </xdr:twoCellAnchor>
  <xdr:twoCellAnchor editAs="oneCell">
    <xdr:from>
      <xdr:col>1</xdr:col>
      <xdr:colOff>16565</xdr:colOff>
      <xdr:row>37</xdr:row>
      <xdr:rowOff>16568</xdr:rowOff>
    </xdr:from>
    <xdr:to>
      <xdr:col>7</xdr:col>
      <xdr:colOff>34573</xdr:colOff>
      <xdr:row>44</xdr:row>
      <xdr:rowOff>155463</xdr:rowOff>
    </xdr:to>
    <xdr:pic>
      <xdr:nvPicPr>
        <xdr:cNvPr id="125" name="Imagem 124" descr="Escritório .jpg">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0" cstate="print"/>
        <a:stretch>
          <a:fillRect/>
        </a:stretch>
      </xdr:blipFill>
      <xdr:spPr>
        <a:xfrm>
          <a:off x="480391" y="16242198"/>
          <a:ext cx="2649973" cy="1358346"/>
        </a:xfrm>
        <a:prstGeom prst="rect">
          <a:avLst/>
        </a:prstGeom>
      </xdr:spPr>
    </xdr:pic>
    <xdr:clientData/>
  </xdr:twoCellAnchor>
  <xdr:twoCellAnchor editAs="oneCell">
    <xdr:from>
      <xdr:col>8</xdr:col>
      <xdr:colOff>11206</xdr:colOff>
      <xdr:row>37</xdr:row>
      <xdr:rowOff>22414</xdr:rowOff>
    </xdr:from>
    <xdr:to>
      <xdr:col>13</xdr:col>
      <xdr:colOff>423076</xdr:colOff>
      <xdr:row>44</xdr:row>
      <xdr:rowOff>156809</xdr:rowOff>
    </xdr:to>
    <xdr:pic>
      <xdr:nvPicPr>
        <xdr:cNvPr id="126" name="Imagem 125" descr="Refeitório 3.jpg">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1" cstate="print"/>
        <a:stretch>
          <a:fillRect/>
        </a:stretch>
      </xdr:blipFill>
      <xdr:spPr>
        <a:xfrm>
          <a:off x="3150315" y="16248044"/>
          <a:ext cx="2614381" cy="1353846"/>
        </a:xfrm>
        <a:prstGeom prst="rect">
          <a:avLst/>
        </a:prstGeom>
      </xdr:spPr>
    </xdr:pic>
    <xdr:clientData/>
  </xdr:twoCellAnchor>
  <xdr:twoCellAnchor editAs="oneCell">
    <xdr:from>
      <xdr:col>1</xdr:col>
      <xdr:colOff>22412</xdr:colOff>
      <xdr:row>47</xdr:row>
      <xdr:rowOff>41413</xdr:rowOff>
    </xdr:from>
    <xdr:to>
      <xdr:col>6</xdr:col>
      <xdr:colOff>423483</xdr:colOff>
      <xdr:row>54</xdr:row>
      <xdr:rowOff>149086</xdr:rowOff>
    </xdr:to>
    <xdr:pic>
      <xdr:nvPicPr>
        <xdr:cNvPr id="127" name="Imagem 126" descr="Almoxarifado .jpg">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12" cstate="print"/>
        <a:stretch>
          <a:fillRect/>
        </a:stretch>
      </xdr:blipFill>
      <xdr:spPr>
        <a:xfrm>
          <a:off x="506506" y="8253084"/>
          <a:ext cx="2642248" cy="1362731"/>
        </a:xfrm>
        <a:prstGeom prst="rect">
          <a:avLst/>
        </a:prstGeom>
      </xdr:spPr>
    </xdr:pic>
    <xdr:clientData/>
  </xdr:twoCellAnchor>
  <xdr:twoCellAnchor editAs="oneCell">
    <xdr:from>
      <xdr:col>1</xdr:col>
      <xdr:colOff>40821</xdr:colOff>
      <xdr:row>57</xdr:row>
      <xdr:rowOff>41413</xdr:rowOff>
    </xdr:from>
    <xdr:to>
      <xdr:col>6</xdr:col>
      <xdr:colOff>414401</xdr:colOff>
      <xdr:row>64</xdr:row>
      <xdr:rowOff>36683</xdr:rowOff>
    </xdr:to>
    <xdr:pic>
      <xdr:nvPicPr>
        <xdr:cNvPr id="128" name="Imagem 127" descr="Refeitório 3.jpg">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3" cstate="print"/>
        <a:stretch>
          <a:fillRect/>
        </a:stretch>
      </xdr:blipFill>
      <xdr:spPr>
        <a:xfrm>
          <a:off x="504647" y="20375217"/>
          <a:ext cx="2557041" cy="1263356"/>
        </a:xfrm>
        <a:prstGeom prst="rect">
          <a:avLst/>
        </a:prstGeom>
      </xdr:spPr>
    </xdr:pic>
    <xdr:clientData/>
  </xdr:twoCellAnchor>
  <xdr:twoCellAnchor editAs="oneCell">
    <xdr:from>
      <xdr:col>7</xdr:col>
      <xdr:colOff>32657</xdr:colOff>
      <xdr:row>67</xdr:row>
      <xdr:rowOff>21771</xdr:rowOff>
    </xdr:from>
    <xdr:to>
      <xdr:col>13</xdr:col>
      <xdr:colOff>424543</xdr:colOff>
      <xdr:row>74</xdr:row>
      <xdr:rowOff>163286</xdr:rowOff>
    </xdr:to>
    <xdr:pic>
      <xdr:nvPicPr>
        <xdr:cNvPr id="5" name="Imagem 4">
          <a:extLst>
            <a:ext uri="{FF2B5EF4-FFF2-40B4-BE49-F238E27FC236}">
              <a16:creationId xmlns:a16="http://schemas.microsoft.com/office/drawing/2014/main" id="{D9844826-051A-2353-DC8F-802F618C110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189514" y="11854542"/>
          <a:ext cx="2667000" cy="1415144"/>
        </a:xfrm>
        <a:prstGeom prst="rect">
          <a:avLst/>
        </a:prstGeom>
      </xdr:spPr>
    </xdr:pic>
    <xdr:clientData/>
  </xdr:twoCellAnchor>
  <xdr:twoCellAnchor editAs="oneCell">
    <xdr:from>
      <xdr:col>1</xdr:col>
      <xdr:colOff>23253</xdr:colOff>
      <xdr:row>67</xdr:row>
      <xdr:rowOff>24695</xdr:rowOff>
    </xdr:from>
    <xdr:to>
      <xdr:col>6</xdr:col>
      <xdr:colOff>395766</xdr:colOff>
      <xdr:row>74</xdr:row>
      <xdr:rowOff>160128</xdr:rowOff>
    </xdr:to>
    <xdr:pic>
      <xdr:nvPicPr>
        <xdr:cNvPr id="7" name="Imagem 6">
          <a:extLst>
            <a:ext uri="{FF2B5EF4-FFF2-40B4-BE49-F238E27FC236}">
              <a16:creationId xmlns:a16="http://schemas.microsoft.com/office/drawing/2014/main" id="{7E09D74D-4AAC-1591-848A-0B75703AD29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92499" y="13793923"/>
          <a:ext cx="2578671" cy="1431113"/>
        </a:xfrm>
        <a:prstGeom prst="rect">
          <a:avLst/>
        </a:prstGeom>
      </xdr:spPr>
    </xdr:pic>
    <xdr:clientData/>
  </xdr:twoCellAnchor>
  <xdr:twoCellAnchor editAs="oneCell">
    <xdr:from>
      <xdr:col>1</xdr:col>
      <xdr:colOff>10849</xdr:colOff>
      <xdr:row>77</xdr:row>
      <xdr:rowOff>6773</xdr:rowOff>
    </xdr:from>
    <xdr:to>
      <xdr:col>7</xdr:col>
      <xdr:colOff>23583</xdr:colOff>
      <xdr:row>84</xdr:row>
      <xdr:rowOff>165159</xdr:rowOff>
    </xdr:to>
    <xdr:pic>
      <xdr:nvPicPr>
        <xdr:cNvPr id="13" name="Imagem 12">
          <a:extLst>
            <a:ext uri="{FF2B5EF4-FFF2-40B4-BE49-F238E27FC236}">
              <a16:creationId xmlns:a16="http://schemas.microsoft.com/office/drawing/2014/main" id="{3E309763-A4E5-A6FE-3719-AAFC20E5CC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90909" y="13608473"/>
          <a:ext cx="2710214" cy="1423306"/>
        </a:xfrm>
        <a:prstGeom prst="rect">
          <a:avLst/>
        </a:prstGeom>
      </xdr:spPr>
    </xdr:pic>
    <xdr:clientData/>
  </xdr:twoCellAnchor>
  <xdr:twoCellAnchor editAs="oneCell">
    <xdr:from>
      <xdr:col>1</xdr:col>
      <xdr:colOff>30258</xdr:colOff>
      <xdr:row>97</xdr:row>
      <xdr:rowOff>19370</xdr:rowOff>
    </xdr:from>
    <xdr:to>
      <xdr:col>6</xdr:col>
      <xdr:colOff>413658</xdr:colOff>
      <xdr:row>104</xdr:row>
      <xdr:rowOff>130627</xdr:rowOff>
    </xdr:to>
    <xdr:pic>
      <xdr:nvPicPr>
        <xdr:cNvPr id="19" name="Imagem 18">
          <a:extLst>
            <a:ext uri="{FF2B5EF4-FFF2-40B4-BE49-F238E27FC236}">
              <a16:creationId xmlns:a16="http://schemas.microsoft.com/office/drawing/2014/main" id="{14BBE4BA-2943-F8A3-C797-1512A49B697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09229" y="17469170"/>
          <a:ext cx="2614972" cy="1330458"/>
        </a:xfrm>
        <a:prstGeom prst="rect">
          <a:avLst/>
        </a:prstGeom>
      </xdr:spPr>
    </xdr:pic>
    <xdr:clientData/>
  </xdr:twoCellAnchor>
  <xdr:twoCellAnchor editAs="oneCell">
    <xdr:from>
      <xdr:col>1</xdr:col>
      <xdr:colOff>21612</xdr:colOff>
      <xdr:row>157</xdr:row>
      <xdr:rowOff>5441</xdr:rowOff>
    </xdr:from>
    <xdr:to>
      <xdr:col>6</xdr:col>
      <xdr:colOff>401491</xdr:colOff>
      <xdr:row>164</xdr:row>
      <xdr:rowOff>128705</xdr:rowOff>
    </xdr:to>
    <xdr:pic>
      <xdr:nvPicPr>
        <xdr:cNvPr id="24" name="Imagem 23">
          <a:extLst>
            <a:ext uri="{FF2B5EF4-FFF2-40B4-BE49-F238E27FC236}">
              <a16:creationId xmlns:a16="http://schemas.microsoft.com/office/drawing/2014/main" id="{7285D568-EEE1-89BD-5C25-727441D6D82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0583" y="28134127"/>
          <a:ext cx="2611451" cy="134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19371</xdr:colOff>
      <xdr:row>297</xdr:row>
      <xdr:rowOff>30257</xdr:rowOff>
    </xdr:from>
    <xdr:to>
      <xdr:col>6</xdr:col>
      <xdr:colOff>402771</xdr:colOff>
      <xdr:row>305</xdr:row>
      <xdr:rowOff>1679</xdr:rowOff>
    </xdr:to>
    <xdr:pic>
      <xdr:nvPicPr>
        <xdr:cNvPr id="52" name="Imagem 51">
          <a:extLst>
            <a:ext uri="{FF2B5EF4-FFF2-40B4-BE49-F238E27FC236}">
              <a16:creationId xmlns:a16="http://schemas.microsoft.com/office/drawing/2014/main" id="{F54C85F4-769C-D0E8-793F-3B1BA65246B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98342" y="35387057"/>
          <a:ext cx="2614972" cy="1363114"/>
        </a:xfrm>
        <a:prstGeom prst="rect">
          <a:avLst/>
        </a:prstGeom>
      </xdr:spPr>
    </xdr:pic>
    <xdr:clientData/>
  </xdr:twoCellAnchor>
  <xdr:twoCellAnchor editAs="oneCell">
    <xdr:from>
      <xdr:col>1</xdr:col>
      <xdr:colOff>10456</xdr:colOff>
      <xdr:row>317</xdr:row>
      <xdr:rowOff>8763</xdr:rowOff>
    </xdr:from>
    <xdr:to>
      <xdr:col>6</xdr:col>
      <xdr:colOff>383399</xdr:colOff>
      <xdr:row>324</xdr:row>
      <xdr:rowOff>133030</xdr:rowOff>
    </xdr:to>
    <xdr:pic>
      <xdr:nvPicPr>
        <xdr:cNvPr id="54" name="Imagem 53">
          <a:extLst>
            <a:ext uri="{FF2B5EF4-FFF2-40B4-BE49-F238E27FC236}">
              <a16:creationId xmlns:a16="http://schemas.microsoft.com/office/drawing/2014/main" id="{A44A730C-AAC1-D607-4336-AF694E64F04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89427" y="38936077"/>
          <a:ext cx="2604515" cy="1343466"/>
        </a:xfrm>
        <a:prstGeom prst="rect">
          <a:avLst/>
        </a:prstGeom>
      </xdr:spPr>
    </xdr:pic>
    <xdr:clientData/>
  </xdr:twoCellAnchor>
  <xdr:twoCellAnchor editAs="oneCell">
    <xdr:from>
      <xdr:col>1</xdr:col>
      <xdr:colOff>43544</xdr:colOff>
      <xdr:row>357</xdr:row>
      <xdr:rowOff>21772</xdr:rowOff>
    </xdr:from>
    <xdr:to>
      <xdr:col>6</xdr:col>
      <xdr:colOff>391886</xdr:colOff>
      <xdr:row>364</xdr:row>
      <xdr:rowOff>108857</xdr:rowOff>
    </xdr:to>
    <xdr:pic>
      <xdr:nvPicPr>
        <xdr:cNvPr id="79" name="Imagem 78">
          <a:extLst>
            <a:ext uri="{FF2B5EF4-FFF2-40B4-BE49-F238E27FC236}">
              <a16:creationId xmlns:a16="http://schemas.microsoft.com/office/drawing/2014/main" id="{645625B4-DD00-E963-C14C-D126D7CAF42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16200000">
          <a:off x="1132115" y="43651715"/>
          <a:ext cx="1360714" cy="2579914"/>
        </a:xfrm>
        <a:prstGeom prst="rect">
          <a:avLst/>
        </a:prstGeom>
      </xdr:spPr>
    </xdr:pic>
    <xdr:clientData/>
  </xdr:twoCellAnchor>
  <xdr:twoCellAnchor editAs="oneCell">
    <xdr:from>
      <xdr:col>8</xdr:col>
      <xdr:colOff>54429</xdr:colOff>
      <xdr:row>87</xdr:row>
      <xdr:rowOff>21771</xdr:rowOff>
    </xdr:from>
    <xdr:to>
      <xdr:col>13</xdr:col>
      <xdr:colOff>391886</xdr:colOff>
      <xdr:row>94</xdr:row>
      <xdr:rowOff>152400</xdr:rowOff>
    </xdr:to>
    <xdr:pic>
      <xdr:nvPicPr>
        <xdr:cNvPr id="3" name="Imagem 2">
          <a:extLst>
            <a:ext uri="{FF2B5EF4-FFF2-40B4-BE49-F238E27FC236}">
              <a16:creationId xmlns:a16="http://schemas.microsoft.com/office/drawing/2014/main" id="{75B2ED15-DE75-11EF-AC23-D300DD967E2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254829" y="15599228"/>
          <a:ext cx="2569028" cy="1404258"/>
        </a:xfrm>
        <a:prstGeom prst="rect">
          <a:avLst/>
        </a:prstGeom>
      </xdr:spPr>
    </xdr:pic>
    <xdr:clientData/>
  </xdr:twoCellAnchor>
  <xdr:twoCellAnchor editAs="oneCell">
    <xdr:from>
      <xdr:col>8</xdr:col>
      <xdr:colOff>32658</xdr:colOff>
      <xdr:row>217</xdr:row>
      <xdr:rowOff>21771</xdr:rowOff>
    </xdr:from>
    <xdr:to>
      <xdr:col>13</xdr:col>
      <xdr:colOff>424543</xdr:colOff>
      <xdr:row>224</xdr:row>
      <xdr:rowOff>165687</xdr:rowOff>
    </xdr:to>
    <xdr:pic>
      <xdr:nvPicPr>
        <xdr:cNvPr id="58" name="Imagem 57">
          <a:extLst>
            <a:ext uri="{FF2B5EF4-FFF2-40B4-BE49-F238E27FC236}">
              <a16:creationId xmlns:a16="http://schemas.microsoft.com/office/drawing/2014/main" id="{021AC85A-544F-A5F8-EAE6-6B2D1664DE0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242023" y="39251324"/>
          <a:ext cx="2633061" cy="1398974"/>
        </a:xfrm>
        <a:prstGeom prst="rect">
          <a:avLst/>
        </a:prstGeom>
      </xdr:spPr>
    </xdr:pic>
    <xdr:clientData/>
  </xdr:twoCellAnchor>
  <xdr:twoCellAnchor editAs="oneCell">
    <xdr:from>
      <xdr:col>0</xdr:col>
      <xdr:colOff>476571</xdr:colOff>
      <xdr:row>217</xdr:row>
      <xdr:rowOff>19370</xdr:rowOff>
    </xdr:from>
    <xdr:to>
      <xdr:col>6</xdr:col>
      <xdr:colOff>389484</xdr:colOff>
      <xdr:row>224</xdr:row>
      <xdr:rowOff>163286</xdr:rowOff>
    </xdr:to>
    <xdr:pic>
      <xdr:nvPicPr>
        <xdr:cNvPr id="62" name="Imagem 61">
          <a:extLst>
            <a:ext uri="{FF2B5EF4-FFF2-40B4-BE49-F238E27FC236}">
              <a16:creationId xmlns:a16="http://schemas.microsoft.com/office/drawing/2014/main" id="{D4F83F87-015E-4761-D01F-F86D243EC68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76571" y="31675027"/>
          <a:ext cx="2623456" cy="1363115"/>
        </a:xfrm>
        <a:prstGeom prst="rect">
          <a:avLst/>
        </a:prstGeom>
      </xdr:spPr>
    </xdr:pic>
    <xdr:clientData/>
  </xdr:twoCellAnchor>
  <xdr:twoCellAnchor>
    <xdr:from>
      <xdr:col>0</xdr:col>
      <xdr:colOff>9525</xdr:colOff>
      <xdr:row>4</xdr:row>
      <xdr:rowOff>47625</xdr:rowOff>
    </xdr:from>
    <xdr:to>
      <xdr:col>14</xdr:col>
      <xdr:colOff>0</xdr:colOff>
      <xdr:row>5</xdr:row>
      <xdr:rowOff>9525</xdr:rowOff>
    </xdr:to>
    <xdr:sp macro="" textlink="">
      <xdr:nvSpPr>
        <xdr:cNvPr id="2" name="Rectangle 5">
          <a:extLst>
            <a:ext uri="{FF2B5EF4-FFF2-40B4-BE49-F238E27FC236}">
              <a16:creationId xmlns:a16="http://schemas.microsoft.com/office/drawing/2014/main" id="{BA8EE12A-70B7-4B24-B449-C39005D47D56}"/>
            </a:ext>
          </a:extLst>
        </xdr:cNvPr>
        <xdr:cNvSpPr>
          <a:spLocks noChangeArrowheads="1"/>
        </xdr:cNvSpPr>
      </xdr:nvSpPr>
      <xdr:spPr bwMode="auto">
        <a:xfrm>
          <a:off x="9525" y="901065"/>
          <a:ext cx="5903595" cy="60960"/>
        </a:xfrm>
        <a:prstGeom prst="rect">
          <a:avLst/>
        </a:prstGeom>
        <a:solidFill>
          <a:srgbClr val="003366"/>
        </a:solidFill>
        <a:ln w="9525">
          <a:noFill/>
          <a:miter lim="800000"/>
          <a:headEnd/>
          <a:tailEnd/>
        </a:ln>
      </xdr:spPr>
    </xdr:sp>
    <xdr:clientData/>
  </xdr:twoCellAnchor>
  <xdr:twoCellAnchor>
    <xdr:from>
      <xdr:col>5</xdr:col>
      <xdr:colOff>38100</xdr:colOff>
      <xdr:row>0</xdr:row>
      <xdr:rowOff>47625</xdr:rowOff>
    </xdr:from>
    <xdr:to>
      <xdr:col>12</xdr:col>
      <xdr:colOff>57150</xdr:colOff>
      <xdr:row>3</xdr:row>
      <xdr:rowOff>38100</xdr:rowOff>
    </xdr:to>
    <xdr:grpSp>
      <xdr:nvGrpSpPr>
        <xdr:cNvPr id="4" name="Grupo 64">
          <a:extLst>
            <a:ext uri="{FF2B5EF4-FFF2-40B4-BE49-F238E27FC236}">
              <a16:creationId xmlns:a16="http://schemas.microsoft.com/office/drawing/2014/main" id="{8CC5252E-BB11-421D-AE77-83A84F1ACAD0}"/>
            </a:ext>
          </a:extLst>
        </xdr:cNvPr>
        <xdr:cNvGrpSpPr/>
      </xdr:nvGrpSpPr>
      <xdr:grpSpPr>
        <a:xfrm>
          <a:off x="2272273" y="47625"/>
          <a:ext cx="2701458" cy="662828"/>
          <a:chOff x="8496300" y="2952750"/>
          <a:chExt cx="2914650" cy="638175"/>
        </a:xfrm>
      </xdr:grpSpPr>
      <xdr:pic>
        <xdr:nvPicPr>
          <xdr:cNvPr id="6" name="Imagem 1">
            <a:extLst>
              <a:ext uri="{FF2B5EF4-FFF2-40B4-BE49-F238E27FC236}">
                <a16:creationId xmlns:a16="http://schemas.microsoft.com/office/drawing/2014/main" id="{EEE64DDF-8055-A5DD-DD85-F8293DFF26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0" y="3038475"/>
            <a:ext cx="16478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m 1">
            <a:extLst>
              <a:ext uri="{FF2B5EF4-FFF2-40B4-BE49-F238E27FC236}">
                <a16:creationId xmlns:a16="http://schemas.microsoft.com/office/drawing/2014/main" id="{44E0514A-0A5C-5A01-73F9-FEFA86F9E0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96300" y="2952750"/>
            <a:ext cx="466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m 1">
            <a:extLst>
              <a:ext uri="{FF2B5EF4-FFF2-40B4-BE49-F238E27FC236}">
                <a16:creationId xmlns:a16="http://schemas.microsoft.com/office/drawing/2014/main" id="{A6C48E34-9FC6-DFBB-C533-DC0B8DA4564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67775" y="3314700"/>
            <a:ext cx="25431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8</xdr:col>
      <xdr:colOff>2883</xdr:colOff>
      <xdr:row>57</xdr:row>
      <xdr:rowOff>13244</xdr:rowOff>
    </xdr:from>
    <xdr:to>
      <xdr:col>13</xdr:col>
      <xdr:colOff>415373</xdr:colOff>
      <xdr:row>64</xdr:row>
      <xdr:rowOff>72953</xdr:rowOff>
    </xdr:to>
    <xdr:pic>
      <xdr:nvPicPr>
        <xdr:cNvPr id="16" name="Imagem 15">
          <a:extLst>
            <a:ext uri="{FF2B5EF4-FFF2-40B4-BE49-F238E27FC236}">
              <a16:creationId xmlns:a16="http://schemas.microsoft.com/office/drawing/2014/main" id="{98A2B8C4-A1E2-4040-9DD5-F05B5B2835C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8523" y="9949724"/>
          <a:ext cx="2660390" cy="1324630"/>
        </a:xfrm>
        <a:prstGeom prst="rect">
          <a:avLst/>
        </a:prstGeom>
      </xdr:spPr>
    </xdr:pic>
    <xdr:clientData/>
  </xdr:twoCellAnchor>
  <xdr:twoCellAnchor editAs="oneCell">
    <xdr:from>
      <xdr:col>1</xdr:col>
      <xdr:colOff>40821</xdr:colOff>
      <xdr:row>57</xdr:row>
      <xdr:rowOff>41413</xdr:rowOff>
    </xdr:from>
    <xdr:to>
      <xdr:col>6</xdr:col>
      <xdr:colOff>414401</xdr:colOff>
      <xdr:row>64</xdr:row>
      <xdr:rowOff>36683</xdr:rowOff>
    </xdr:to>
    <xdr:pic>
      <xdr:nvPicPr>
        <xdr:cNvPr id="40" name="Imagem 39" descr="Refeitório 3.jpg">
          <a:extLst>
            <a:ext uri="{FF2B5EF4-FFF2-40B4-BE49-F238E27FC236}">
              <a16:creationId xmlns:a16="http://schemas.microsoft.com/office/drawing/2014/main" id="{D9DE80D7-1295-4274-A0C8-B7BF7BC6E1C3}"/>
            </a:ext>
          </a:extLst>
        </xdr:cNvPr>
        <xdr:cNvPicPr>
          <a:picLocks noChangeAspect="1"/>
        </xdr:cNvPicPr>
      </xdr:nvPicPr>
      <xdr:blipFill>
        <a:blip xmlns:r="http://schemas.openxmlformats.org/officeDocument/2006/relationships" r:embed="rId13" cstate="print"/>
        <a:stretch>
          <a:fillRect/>
        </a:stretch>
      </xdr:blipFill>
      <xdr:spPr>
        <a:xfrm>
          <a:off x="520881" y="9977893"/>
          <a:ext cx="2621480" cy="1260191"/>
        </a:xfrm>
        <a:prstGeom prst="rect">
          <a:avLst/>
        </a:prstGeom>
      </xdr:spPr>
    </xdr:pic>
    <xdr:clientData/>
  </xdr:twoCellAnchor>
  <xdr:twoCellAnchor editAs="oneCell">
    <xdr:from>
      <xdr:col>1</xdr:col>
      <xdr:colOff>26125</xdr:colOff>
      <xdr:row>87</xdr:row>
      <xdr:rowOff>10885</xdr:rowOff>
    </xdr:from>
    <xdr:to>
      <xdr:col>6</xdr:col>
      <xdr:colOff>437605</xdr:colOff>
      <xdr:row>95</xdr:row>
      <xdr:rowOff>1089</xdr:rowOff>
    </xdr:to>
    <xdr:pic>
      <xdr:nvPicPr>
        <xdr:cNvPr id="69" name="Imagem 68">
          <a:extLst>
            <a:ext uri="{FF2B5EF4-FFF2-40B4-BE49-F238E27FC236}">
              <a16:creationId xmlns:a16="http://schemas.microsoft.com/office/drawing/2014/main" id="{EB98EA07-319C-41F7-9CF1-791C9E9FBCB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05096" y="15588342"/>
          <a:ext cx="2643052" cy="1448889"/>
        </a:xfrm>
        <a:prstGeom prst="rect">
          <a:avLst/>
        </a:prstGeom>
      </xdr:spPr>
    </xdr:pic>
    <xdr:clientData/>
  </xdr:twoCellAnchor>
  <xdr:twoCellAnchor editAs="oneCell">
    <xdr:from>
      <xdr:col>1</xdr:col>
      <xdr:colOff>17929</xdr:colOff>
      <xdr:row>297</xdr:row>
      <xdr:rowOff>8963</xdr:rowOff>
    </xdr:from>
    <xdr:to>
      <xdr:col>6</xdr:col>
      <xdr:colOff>412376</xdr:colOff>
      <xdr:row>304</xdr:row>
      <xdr:rowOff>168087</xdr:rowOff>
    </xdr:to>
    <xdr:pic>
      <xdr:nvPicPr>
        <xdr:cNvPr id="140" name="Imagem 139">
          <a:extLst>
            <a:ext uri="{FF2B5EF4-FFF2-40B4-BE49-F238E27FC236}">
              <a16:creationId xmlns:a16="http://schemas.microsoft.com/office/drawing/2014/main" id="{7F1BB930-59A7-46D3-8933-0387AF03F8C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97989" y="44197343"/>
          <a:ext cx="2642347" cy="1393117"/>
        </a:xfrm>
        <a:prstGeom prst="rect">
          <a:avLst/>
        </a:prstGeom>
      </xdr:spPr>
    </xdr:pic>
    <xdr:clientData/>
  </xdr:twoCellAnchor>
  <xdr:twoCellAnchor editAs="oneCell">
    <xdr:from>
      <xdr:col>1</xdr:col>
      <xdr:colOff>43543</xdr:colOff>
      <xdr:row>357</xdr:row>
      <xdr:rowOff>10886</xdr:rowOff>
    </xdr:from>
    <xdr:to>
      <xdr:col>6</xdr:col>
      <xdr:colOff>424542</xdr:colOff>
      <xdr:row>363</xdr:row>
      <xdr:rowOff>0</xdr:rowOff>
    </xdr:to>
    <xdr:pic>
      <xdr:nvPicPr>
        <xdr:cNvPr id="141" name="Imagem 140">
          <a:extLst>
            <a:ext uri="{FF2B5EF4-FFF2-40B4-BE49-F238E27FC236}">
              <a16:creationId xmlns:a16="http://schemas.microsoft.com/office/drawing/2014/main" id="{96D63DDF-9226-45BB-8367-F4812D55066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23603" y="55126346"/>
          <a:ext cx="2628899" cy="1082040"/>
        </a:xfrm>
        <a:prstGeom prst="rect">
          <a:avLst/>
        </a:prstGeom>
      </xdr:spPr>
    </xdr:pic>
    <xdr:clientData/>
  </xdr:twoCellAnchor>
  <xdr:twoCellAnchor editAs="oneCell">
    <xdr:from>
      <xdr:col>8</xdr:col>
      <xdr:colOff>18705</xdr:colOff>
      <xdr:row>77</xdr:row>
      <xdr:rowOff>20781</xdr:rowOff>
    </xdr:from>
    <xdr:to>
      <xdr:col>13</xdr:col>
      <xdr:colOff>426720</xdr:colOff>
      <xdr:row>84</xdr:row>
      <xdr:rowOff>162098</xdr:rowOff>
    </xdr:to>
    <xdr:pic>
      <xdr:nvPicPr>
        <xdr:cNvPr id="143" name="Imagem 142">
          <a:extLst>
            <a:ext uri="{FF2B5EF4-FFF2-40B4-BE49-F238E27FC236}">
              <a16:creationId xmlns:a16="http://schemas.microsoft.com/office/drawing/2014/main" id="{78B4FDA0-74B1-F607-FB2B-982CAA41FF6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234345" y="13622481"/>
          <a:ext cx="2655915" cy="1406237"/>
        </a:xfrm>
        <a:prstGeom prst="rect">
          <a:avLst/>
        </a:prstGeom>
      </xdr:spPr>
    </xdr:pic>
    <xdr:clientData/>
  </xdr:twoCellAnchor>
  <xdr:twoCellAnchor editAs="oneCell">
    <xdr:from>
      <xdr:col>1</xdr:col>
      <xdr:colOff>22860</xdr:colOff>
      <xdr:row>107</xdr:row>
      <xdr:rowOff>15240</xdr:rowOff>
    </xdr:from>
    <xdr:to>
      <xdr:col>7</xdr:col>
      <xdr:colOff>728</xdr:colOff>
      <xdr:row>114</xdr:row>
      <xdr:rowOff>152401</xdr:rowOff>
    </xdr:to>
    <xdr:pic>
      <xdr:nvPicPr>
        <xdr:cNvPr id="149" name="Imagem 148">
          <a:extLst>
            <a:ext uri="{FF2B5EF4-FFF2-40B4-BE49-F238E27FC236}">
              <a16:creationId xmlns:a16="http://schemas.microsoft.com/office/drawing/2014/main" id="{9BA5BA22-74AF-E299-31D5-AEC26268EFA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02920" y="19072860"/>
          <a:ext cx="2667000" cy="1363980"/>
        </a:xfrm>
        <a:prstGeom prst="rect">
          <a:avLst/>
        </a:prstGeom>
      </xdr:spPr>
    </xdr:pic>
    <xdr:clientData/>
  </xdr:twoCellAnchor>
  <xdr:twoCellAnchor editAs="oneCell">
    <xdr:from>
      <xdr:col>8</xdr:col>
      <xdr:colOff>38100</xdr:colOff>
      <xdr:row>117</xdr:row>
      <xdr:rowOff>15240</xdr:rowOff>
    </xdr:from>
    <xdr:to>
      <xdr:col>13</xdr:col>
      <xdr:colOff>419100</xdr:colOff>
      <xdr:row>125</xdr:row>
      <xdr:rowOff>0</xdr:rowOff>
    </xdr:to>
    <xdr:pic>
      <xdr:nvPicPr>
        <xdr:cNvPr id="151" name="Imagem 150">
          <a:extLst>
            <a:ext uri="{FF2B5EF4-FFF2-40B4-BE49-F238E27FC236}">
              <a16:creationId xmlns:a16="http://schemas.microsoft.com/office/drawing/2014/main" id="{17B2113B-F21C-78EB-ADA5-D384B9137FC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253740" y="20825460"/>
          <a:ext cx="2628900" cy="1386840"/>
        </a:xfrm>
        <a:prstGeom prst="rect">
          <a:avLst/>
        </a:prstGeom>
      </xdr:spPr>
    </xdr:pic>
    <xdr:clientData/>
  </xdr:twoCellAnchor>
  <xdr:twoCellAnchor editAs="oneCell">
    <xdr:from>
      <xdr:col>1</xdr:col>
      <xdr:colOff>12840</xdr:colOff>
      <xdr:row>117</xdr:row>
      <xdr:rowOff>20460</xdr:rowOff>
    </xdr:from>
    <xdr:to>
      <xdr:col>6</xdr:col>
      <xdr:colOff>426720</xdr:colOff>
      <xdr:row>124</xdr:row>
      <xdr:rowOff>160020</xdr:rowOff>
    </xdr:to>
    <xdr:pic>
      <xdr:nvPicPr>
        <xdr:cNvPr id="153" name="Imagem 152">
          <a:extLst>
            <a:ext uri="{FF2B5EF4-FFF2-40B4-BE49-F238E27FC236}">
              <a16:creationId xmlns:a16="http://schemas.microsoft.com/office/drawing/2014/main" id="{AC67C67A-6D89-CC3D-2165-16015F54CA0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92900" y="20830680"/>
          <a:ext cx="2661780" cy="1366380"/>
        </a:xfrm>
        <a:prstGeom prst="rect">
          <a:avLst/>
        </a:prstGeom>
      </xdr:spPr>
    </xdr:pic>
    <xdr:clientData/>
  </xdr:twoCellAnchor>
  <xdr:twoCellAnchor editAs="oneCell">
    <xdr:from>
      <xdr:col>8</xdr:col>
      <xdr:colOff>25680</xdr:colOff>
      <xdr:row>107</xdr:row>
      <xdr:rowOff>25680</xdr:rowOff>
    </xdr:from>
    <xdr:to>
      <xdr:col>13</xdr:col>
      <xdr:colOff>403860</xdr:colOff>
      <xdr:row>114</xdr:row>
      <xdr:rowOff>152401</xdr:rowOff>
    </xdr:to>
    <xdr:pic>
      <xdr:nvPicPr>
        <xdr:cNvPr id="155" name="Imagem 154">
          <a:extLst>
            <a:ext uri="{FF2B5EF4-FFF2-40B4-BE49-F238E27FC236}">
              <a16:creationId xmlns:a16="http://schemas.microsoft.com/office/drawing/2014/main" id="{94B1715E-46FC-577D-9D80-1E3FD155562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241320" y="19083300"/>
          <a:ext cx="2626080" cy="1353540"/>
        </a:xfrm>
        <a:prstGeom prst="rect">
          <a:avLst/>
        </a:prstGeom>
      </xdr:spPr>
    </xdr:pic>
    <xdr:clientData/>
  </xdr:twoCellAnchor>
  <xdr:twoCellAnchor editAs="oneCell">
    <xdr:from>
      <xdr:col>1</xdr:col>
      <xdr:colOff>43320</xdr:colOff>
      <xdr:row>127</xdr:row>
      <xdr:rowOff>28080</xdr:rowOff>
    </xdr:from>
    <xdr:to>
      <xdr:col>6</xdr:col>
      <xdr:colOff>426720</xdr:colOff>
      <xdr:row>134</xdr:row>
      <xdr:rowOff>152399</xdr:rowOff>
    </xdr:to>
    <xdr:pic>
      <xdr:nvPicPr>
        <xdr:cNvPr id="163" name="Imagem 162">
          <a:extLst>
            <a:ext uri="{FF2B5EF4-FFF2-40B4-BE49-F238E27FC236}">
              <a16:creationId xmlns:a16="http://schemas.microsoft.com/office/drawing/2014/main" id="{279F6324-7B63-F4D6-F0D4-6CE19B6CB4C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23380" y="22590900"/>
          <a:ext cx="2631300" cy="1351140"/>
        </a:xfrm>
        <a:prstGeom prst="rect">
          <a:avLst/>
        </a:prstGeom>
      </xdr:spPr>
    </xdr:pic>
    <xdr:clientData/>
  </xdr:twoCellAnchor>
  <xdr:twoCellAnchor editAs="oneCell">
    <xdr:from>
      <xdr:col>8</xdr:col>
      <xdr:colOff>41365</xdr:colOff>
      <xdr:row>127</xdr:row>
      <xdr:rowOff>26126</xdr:rowOff>
    </xdr:from>
    <xdr:to>
      <xdr:col>13</xdr:col>
      <xdr:colOff>437605</xdr:colOff>
      <xdr:row>134</xdr:row>
      <xdr:rowOff>155665</xdr:rowOff>
    </xdr:to>
    <xdr:pic>
      <xdr:nvPicPr>
        <xdr:cNvPr id="173" name="Imagem 172">
          <a:extLst>
            <a:ext uri="{FF2B5EF4-FFF2-40B4-BE49-F238E27FC236}">
              <a16:creationId xmlns:a16="http://schemas.microsoft.com/office/drawing/2014/main" id="{E0C62991-8ADB-F263-5899-DFBA4982921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flipH="1">
          <a:off x="3241765" y="22701069"/>
          <a:ext cx="2627811" cy="1348740"/>
        </a:xfrm>
        <a:prstGeom prst="rect">
          <a:avLst/>
        </a:prstGeom>
      </xdr:spPr>
    </xdr:pic>
    <xdr:clientData/>
  </xdr:twoCellAnchor>
  <xdr:twoCellAnchor editAs="oneCell">
    <xdr:from>
      <xdr:col>1</xdr:col>
      <xdr:colOff>33251</xdr:colOff>
      <xdr:row>167</xdr:row>
      <xdr:rowOff>22859</xdr:rowOff>
    </xdr:from>
    <xdr:to>
      <xdr:col>6</xdr:col>
      <xdr:colOff>401782</xdr:colOff>
      <xdr:row>174</xdr:row>
      <xdr:rowOff>152400</xdr:rowOff>
    </xdr:to>
    <xdr:pic>
      <xdr:nvPicPr>
        <xdr:cNvPr id="175" name="Imagem 174">
          <a:extLst>
            <a:ext uri="{FF2B5EF4-FFF2-40B4-BE49-F238E27FC236}">
              <a16:creationId xmlns:a16="http://schemas.microsoft.com/office/drawing/2014/main" id="{AFB51A18-7EDB-3C44-D5BB-039213BBF03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8160" y="30239623"/>
          <a:ext cx="2585258" cy="1390304"/>
        </a:xfrm>
        <a:prstGeom prst="rect">
          <a:avLst/>
        </a:prstGeom>
      </xdr:spPr>
    </xdr:pic>
    <xdr:clientData/>
  </xdr:twoCellAnchor>
  <xdr:twoCellAnchor editAs="oneCell">
    <xdr:from>
      <xdr:col>8</xdr:col>
      <xdr:colOff>9236</xdr:colOff>
      <xdr:row>167</xdr:row>
      <xdr:rowOff>27708</xdr:rowOff>
    </xdr:from>
    <xdr:to>
      <xdr:col>13</xdr:col>
      <xdr:colOff>401782</xdr:colOff>
      <xdr:row>174</xdr:row>
      <xdr:rowOff>152401</xdr:rowOff>
    </xdr:to>
    <xdr:pic>
      <xdr:nvPicPr>
        <xdr:cNvPr id="177" name="Imagem 176">
          <a:extLst>
            <a:ext uri="{FF2B5EF4-FFF2-40B4-BE49-F238E27FC236}">
              <a16:creationId xmlns:a16="http://schemas.microsoft.com/office/drawing/2014/main" id="{C9C16E71-6917-7717-B02A-7315B8BE357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195781" y="30244472"/>
          <a:ext cx="2609274" cy="1385456"/>
        </a:xfrm>
        <a:prstGeom prst="rect">
          <a:avLst/>
        </a:prstGeom>
      </xdr:spPr>
    </xdr:pic>
    <xdr:clientData/>
  </xdr:twoCellAnchor>
  <xdr:twoCellAnchor editAs="oneCell">
    <xdr:from>
      <xdr:col>9</xdr:col>
      <xdr:colOff>166255</xdr:colOff>
      <xdr:row>247</xdr:row>
      <xdr:rowOff>55419</xdr:rowOff>
    </xdr:from>
    <xdr:to>
      <xdr:col>12</xdr:col>
      <xdr:colOff>110837</xdr:colOff>
      <xdr:row>255</xdr:row>
      <xdr:rowOff>0</xdr:rowOff>
    </xdr:to>
    <xdr:pic>
      <xdr:nvPicPr>
        <xdr:cNvPr id="179" name="Imagem 178">
          <a:extLst>
            <a:ext uri="{FF2B5EF4-FFF2-40B4-BE49-F238E27FC236}">
              <a16:creationId xmlns:a16="http://schemas.microsoft.com/office/drawing/2014/main" id="{3F147697-A5CB-0DD5-7DA4-F5EC6EB7C0F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796146" y="46675964"/>
          <a:ext cx="1274618" cy="1385454"/>
        </a:xfrm>
        <a:prstGeom prst="rect">
          <a:avLst/>
        </a:prstGeom>
      </xdr:spPr>
    </xdr:pic>
    <xdr:clientData/>
  </xdr:twoCellAnchor>
  <xdr:twoCellAnchor editAs="oneCell">
    <xdr:from>
      <xdr:col>8</xdr:col>
      <xdr:colOff>274691</xdr:colOff>
      <xdr:row>257</xdr:row>
      <xdr:rowOff>94582</xdr:rowOff>
    </xdr:from>
    <xdr:to>
      <xdr:col>12</xdr:col>
      <xdr:colOff>332509</xdr:colOff>
      <xdr:row>264</xdr:row>
      <xdr:rowOff>152400</xdr:rowOff>
    </xdr:to>
    <xdr:pic>
      <xdr:nvPicPr>
        <xdr:cNvPr id="181" name="Imagem 180">
          <a:extLst>
            <a:ext uri="{FF2B5EF4-FFF2-40B4-BE49-F238E27FC236}">
              <a16:creationId xmlns:a16="http://schemas.microsoft.com/office/drawing/2014/main" id="{F5986977-729E-08EC-DEC7-7282A5822A9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461236" y="48543927"/>
          <a:ext cx="1831200" cy="1318582"/>
        </a:xfrm>
        <a:prstGeom prst="rect">
          <a:avLst/>
        </a:prstGeom>
      </xdr:spPr>
    </xdr:pic>
    <xdr:clientData/>
  </xdr:twoCellAnchor>
  <xdr:twoCellAnchor editAs="oneCell">
    <xdr:from>
      <xdr:col>2</xdr:col>
      <xdr:colOff>13855</xdr:colOff>
      <xdr:row>267</xdr:row>
      <xdr:rowOff>21771</xdr:rowOff>
    </xdr:from>
    <xdr:to>
      <xdr:col>6</xdr:col>
      <xdr:colOff>401782</xdr:colOff>
      <xdr:row>274</xdr:row>
      <xdr:rowOff>152400</xdr:rowOff>
    </xdr:to>
    <xdr:pic>
      <xdr:nvPicPr>
        <xdr:cNvPr id="187" name="Imagem 186">
          <a:extLst>
            <a:ext uri="{FF2B5EF4-FFF2-40B4-BE49-F238E27FC236}">
              <a16:creationId xmlns:a16="http://schemas.microsoft.com/office/drawing/2014/main" id="{E361B5DC-355E-02E6-6D87-8E6F40822F4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39141" y="49486457"/>
          <a:ext cx="2173184" cy="1349829"/>
        </a:xfrm>
        <a:prstGeom prst="rect">
          <a:avLst/>
        </a:prstGeom>
      </xdr:spPr>
    </xdr:pic>
    <xdr:clientData/>
  </xdr:twoCellAnchor>
  <xdr:twoCellAnchor editAs="oneCell">
    <xdr:from>
      <xdr:col>1</xdr:col>
      <xdr:colOff>32657</xdr:colOff>
      <xdr:row>277</xdr:row>
      <xdr:rowOff>35057</xdr:rowOff>
    </xdr:from>
    <xdr:to>
      <xdr:col>6</xdr:col>
      <xdr:colOff>391886</xdr:colOff>
      <xdr:row>284</xdr:row>
      <xdr:rowOff>141514</xdr:rowOff>
    </xdr:to>
    <xdr:pic>
      <xdr:nvPicPr>
        <xdr:cNvPr id="192" name="Imagem 191">
          <a:extLst>
            <a:ext uri="{FF2B5EF4-FFF2-40B4-BE49-F238E27FC236}">
              <a16:creationId xmlns:a16="http://schemas.microsoft.com/office/drawing/2014/main" id="{4CB4AD91-8B45-DF1A-3218-B622345637E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1628" y="51285000"/>
          <a:ext cx="2590801" cy="1325657"/>
        </a:xfrm>
        <a:prstGeom prst="rect">
          <a:avLst/>
        </a:prstGeom>
      </xdr:spPr>
    </xdr:pic>
    <xdr:clientData/>
  </xdr:twoCellAnchor>
  <xdr:twoCellAnchor editAs="oneCell">
    <xdr:from>
      <xdr:col>8</xdr:col>
      <xdr:colOff>30257</xdr:colOff>
      <xdr:row>277</xdr:row>
      <xdr:rowOff>43543</xdr:rowOff>
    </xdr:from>
    <xdr:to>
      <xdr:col>13</xdr:col>
      <xdr:colOff>424543</xdr:colOff>
      <xdr:row>284</xdr:row>
      <xdr:rowOff>141515</xdr:rowOff>
    </xdr:to>
    <xdr:pic>
      <xdr:nvPicPr>
        <xdr:cNvPr id="194" name="Imagem 193">
          <a:extLst>
            <a:ext uri="{FF2B5EF4-FFF2-40B4-BE49-F238E27FC236}">
              <a16:creationId xmlns:a16="http://schemas.microsoft.com/office/drawing/2014/main" id="{89F1AA47-B410-3967-2751-4B33508768E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239622" y="50245896"/>
          <a:ext cx="2635462" cy="1353031"/>
        </a:xfrm>
        <a:prstGeom prst="rect">
          <a:avLst/>
        </a:prstGeom>
      </xdr:spPr>
    </xdr:pic>
    <xdr:clientData/>
  </xdr:twoCellAnchor>
  <xdr:twoCellAnchor editAs="oneCell">
    <xdr:from>
      <xdr:col>8</xdr:col>
      <xdr:colOff>32657</xdr:colOff>
      <xdr:row>287</xdr:row>
      <xdr:rowOff>43544</xdr:rowOff>
    </xdr:from>
    <xdr:to>
      <xdr:col>13</xdr:col>
      <xdr:colOff>381000</xdr:colOff>
      <xdr:row>295</xdr:row>
      <xdr:rowOff>1</xdr:rowOff>
    </xdr:to>
    <xdr:pic>
      <xdr:nvPicPr>
        <xdr:cNvPr id="198" name="Imagem 197">
          <a:extLst>
            <a:ext uri="{FF2B5EF4-FFF2-40B4-BE49-F238E27FC236}">
              <a16:creationId xmlns:a16="http://schemas.microsoft.com/office/drawing/2014/main" id="{00970A65-85C5-3C68-7DF1-5DC4892627C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242022" y="52038838"/>
          <a:ext cx="2589519" cy="1390810"/>
        </a:xfrm>
        <a:prstGeom prst="rect">
          <a:avLst/>
        </a:prstGeom>
      </xdr:spPr>
    </xdr:pic>
    <xdr:clientData/>
  </xdr:twoCellAnchor>
  <xdr:twoCellAnchor editAs="oneCell">
    <xdr:from>
      <xdr:col>1</xdr:col>
      <xdr:colOff>8486</xdr:colOff>
      <xdr:row>287</xdr:row>
      <xdr:rowOff>19371</xdr:rowOff>
    </xdr:from>
    <xdr:to>
      <xdr:col>6</xdr:col>
      <xdr:colOff>381000</xdr:colOff>
      <xdr:row>294</xdr:row>
      <xdr:rowOff>130628</xdr:rowOff>
    </xdr:to>
    <xdr:pic>
      <xdr:nvPicPr>
        <xdr:cNvPr id="200" name="Imagem 199">
          <a:extLst>
            <a:ext uri="{FF2B5EF4-FFF2-40B4-BE49-F238E27FC236}">
              <a16:creationId xmlns:a16="http://schemas.microsoft.com/office/drawing/2014/main" id="{BC944931-656E-53D4-2491-67A64AEA00B8}"/>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rot="16200000">
          <a:off x="1124271" y="52374214"/>
          <a:ext cx="1330457" cy="2604086"/>
        </a:xfrm>
        <a:prstGeom prst="rect">
          <a:avLst/>
        </a:prstGeom>
      </xdr:spPr>
    </xdr:pic>
    <xdr:clientData/>
  </xdr:twoCellAnchor>
  <xdr:twoCellAnchor editAs="oneCell">
    <xdr:from>
      <xdr:col>8</xdr:col>
      <xdr:colOff>10885</xdr:colOff>
      <xdr:row>307</xdr:row>
      <xdr:rowOff>21770</xdr:rowOff>
    </xdr:from>
    <xdr:to>
      <xdr:col>13</xdr:col>
      <xdr:colOff>413657</xdr:colOff>
      <xdr:row>314</xdr:row>
      <xdr:rowOff>152400</xdr:rowOff>
    </xdr:to>
    <xdr:pic>
      <xdr:nvPicPr>
        <xdr:cNvPr id="202" name="Imagem 201">
          <a:extLst>
            <a:ext uri="{FF2B5EF4-FFF2-40B4-BE49-F238E27FC236}">
              <a16:creationId xmlns:a16="http://schemas.microsoft.com/office/drawing/2014/main" id="{8E157697-6E0D-9DB7-C09D-98C2B0A33BF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211285" y="56540399"/>
          <a:ext cx="2634343" cy="1349829"/>
        </a:xfrm>
        <a:prstGeom prst="rect">
          <a:avLst/>
        </a:prstGeom>
      </xdr:spPr>
    </xdr:pic>
    <xdr:clientData/>
  </xdr:twoCellAnchor>
  <xdr:twoCellAnchor editAs="oneCell">
    <xdr:from>
      <xdr:col>8</xdr:col>
      <xdr:colOff>39699</xdr:colOff>
      <xdr:row>317</xdr:row>
      <xdr:rowOff>21771</xdr:rowOff>
    </xdr:from>
    <xdr:to>
      <xdr:col>14</xdr:col>
      <xdr:colOff>1241</xdr:colOff>
      <xdr:row>325</xdr:row>
      <xdr:rowOff>10886</xdr:rowOff>
    </xdr:to>
    <xdr:pic>
      <xdr:nvPicPr>
        <xdr:cNvPr id="204" name="Imagem 203">
          <a:extLst>
            <a:ext uri="{FF2B5EF4-FFF2-40B4-BE49-F238E27FC236}">
              <a16:creationId xmlns:a16="http://schemas.microsoft.com/office/drawing/2014/main" id="{9B0405C8-0CE2-B4EA-3A7E-C50BF077493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249064" y="57467606"/>
          <a:ext cx="2643949" cy="1423467"/>
        </a:xfrm>
        <a:prstGeom prst="rect">
          <a:avLst/>
        </a:prstGeom>
      </xdr:spPr>
    </xdr:pic>
    <xdr:clientData/>
  </xdr:twoCellAnchor>
  <xdr:twoCellAnchor editAs="oneCell">
    <xdr:from>
      <xdr:col>8</xdr:col>
      <xdr:colOff>32657</xdr:colOff>
      <xdr:row>327</xdr:row>
      <xdr:rowOff>21772</xdr:rowOff>
    </xdr:from>
    <xdr:to>
      <xdr:col>13</xdr:col>
      <xdr:colOff>381000</xdr:colOff>
      <xdr:row>334</xdr:row>
      <xdr:rowOff>152400</xdr:rowOff>
    </xdr:to>
    <xdr:pic>
      <xdr:nvPicPr>
        <xdr:cNvPr id="206" name="Imagem 205">
          <a:extLst>
            <a:ext uri="{FF2B5EF4-FFF2-40B4-BE49-F238E27FC236}">
              <a16:creationId xmlns:a16="http://schemas.microsoft.com/office/drawing/2014/main" id="{F5629D4F-ECC2-4832-C85C-C86BCBDC381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233057" y="60110915"/>
          <a:ext cx="2579914" cy="1404256"/>
        </a:xfrm>
        <a:prstGeom prst="rect">
          <a:avLst/>
        </a:prstGeom>
      </xdr:spPr>
    </xdr:pic>
    <xdr:clientData/>
  </xdr:twoCellAnchor>
  <xdr:twoCellAnchor editAs="oneCell">
    <xdr:from>
      <xdr:col>8</xdr:col>
      <xdr:colOff>36286</xdr:colOff>
      <xdr:row>97</xdr:row>
      <xdr:rowOff>32658</xdr:rowOff>
    </xdr:from>
    <xdr:to>
      <xdr:col>13</xdr:col>
      <xdr:colOff>424541</xdr:colOff>
      <xdr:row>104</xdr:row>
      <xdr:rowOff>130628</xdr:rowOff>
    </xdr:to>
    <xdr:pic>
      <xdr:nvPicPr>
        <xdr:cNvPr id="11" name="Imagem 10">
          <a:extLst>
            <a:ext uri="{FF2B5EF4-FFF2-40B4-BE49-F238E27FC236}">
              <a16:creationId xmlns:a16="http://schemas.microsoft.com/office/drawing/2014/main" id="{6BF32A13-CABE-03B8-35B6-D3B9BA6F75B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236686" y="17482458"/>
          <a:ext cx="2619826" cy="1317171"/>
        </a:xfrm>
        <a:prstGeom prst="rect">
          <a:avLst/>
        </a:prstGeom>
      </xdr:spPr>
    </xdr:pic>
    <xdr:clientData/>
  </xdr:twoCellAnchor>
  <xdr:twoCellAnchor editAs="oneCell">
    <xdr:from>
      <xdr:col>1</xdr:col>
      <xdr:colOff>32656</xdr:colOff>
      <xdr:row>137</xdr:row>
      <xdr:rowOff>10886</xdr:rowOff>
    </xdr:from>
    <xdr:to>
      <xdr:col>6</xdr:col>
      <xdr:colOff>391885</xdr:colOff>
      <xdr:row>144</xdr:row>
      <xdr:rowOff>163286</xdr:rowOff>
    </xdr:to>
    <xdr:pic>
      <xdr:nvPicPr>
        <xdr:cNvPr id="14" name="Imagem 13">
          <a:extLst>
            <a:ext uri="{FF2B5EF4-FFF2-40B4-BE49-F238E27FC236}">
              <a16:creationId xmlns:a16="http://schemas.microsoft.com/office/drawing/2014/main" id="{7B300A59-4524-80DF-DA8A-62ED0489D0D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11627" y="24569057"/>
          <a:ext cx="2590801" cy="1371600"/>
        </a:xfrm>
        <a:prstGeom prst="rect">
          <a:avLst/>
        </a:prstGeom>
      </xdr:spPr>
    </xdr:pic>
    <xdr:clientData/>
  </xdr:twoCellAnchor>
  <xdr:twoCellAnchor editAs="oneCell">
    <xdr:from>
      <xdr:col>8</xdr:col>
      <xdr:colOff>30256</xdr:colOff>
      <xdr:row>137</xdr:row>
      <xdr:rowOff>30256</xdr:rowOff>
    </xdr:from>
    <xdr:to>
      <xdr:col>13</xdr:col>
      <xdr:colOff>424542</xdr:colOff>
      <xdr:row>144</xdr:row>
      <xdr:rowOff>163285</xdr:rowOff>
    </xdr:to>
    <xdr:pic>
      <xdr:nvPicPr>
        <xdr:cNvPr id="27" name="Imagem 26">
          <a:extLst>
            <a:ext uri="{FF2B5EF4-FFF2-40B4-BE49-F238E27FC236}">
              <a16:creationId xmlns:a16="http://schemas.microsoft.com/office/drawing/2014/main" id="{0ED491A4-B543-65A9-6C8C-FE84C502C27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3230656" y="24588427"/>
          <a:ext cx="2625857" cy="1352229"/>
        </a:xfrm>
        <a:prstGeom prst="rect">
          <a:avLst/>
        </a:prstGeom>
      </xdr:spPr>
    </xdr:pic>
    <xdr:clientData/>
  </xdr:twoCellAnchor>
  <xdr:twoCellAnchor editAs="oneCell">
    <xdr:from>
      <xdr:col>1</xdr:col>
      <xdr:colOff>21771</xdr:colOff>
      <xdr:row>147</xdr:row>
      <xdr:rowOff>21769</xdr:rowOff>
    </xdr:from>
    <xdr:to>
      <xdr:col>6</xdr:col>
      <xdr:colOff>402771</xdr:colOff>
      <xdr:row>154</xdr:row>
      <xdr:rowOff>163283</xdr:rowOff>
    </xdr:to>
    <xdr:pic>
      <xdr:nvPicPr>
        <xdr:cNvPr id="30" name="Imagem 29">
          <a:extLst>
            <a:ext uri="{FF2B5EF4-FFF2-40B4-BE49-F238E27FC236}">
              <a16:creationId xmlns:a16="http://schemas.microsoft.com/office/drawing/2014/main" id="{4AE45215-9AB2-7E7E-9483-AF3A861FC6A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00742" y="26365198"/>
          <a:ext cx="2612572" cy="1360715"/>
        </a:xfrm>
        <a:prstGeom prst="rect">
          <a:avLst/>
        </a:prstGeom>
      </xdr:spPr>
    </xdr:pic>
    <xdr:clientData/>
  </xdr:twoCellAnchor>
  <xdr:twoCellAnchor editAs="oneCell">
    <xdr:from>
      <xdr:col>8</xdr:col>
      <xdr:colOff>19371</xdr:colOff>
      <xdr:row>146</xdr:row>
      <xdr:rowOff>204428</xdr:rowOff>
    </xdr:from>
    <xdr:to>
      <xdr:col>13</xdr:col>
      <xdr:colOff>391886</xdr:colOff>
      <xdr:row>155</xdr:row>
      <xdr:rowOff>0</xdr:rowOff>
    </xdr:to>
    <xdr:pic>
      <xdr:nvPicPr>
        <xdr:cNvPr id="32" name="Imagem 31">
          <a:extLst>
            <a:ext uri="{FF2B5EF4-FFF2-40B4-BE49-F238E27FC236}">
              <a16:creationId xmlns:a16="http://schemas.microsoft.com/office/drawing/2014/main" id="{2E760B31-37F3-1556-4F16-2F397127B41C}"/>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3219771" y="26330142"/>
          <a:ext cx="2604086" cy="1406658"/>
        </a:xfrm>
        <a:prstGeom prst="rect">
          <a:avLst/>
        </a:prstGeom>
      </xdr:spPr>
    </xdr:pic>
    <xdr:clientData/>
  </xdr:twoCellAnchor>
  <xdr:twoCellAnchor editAs="oneCell">
    <xdr:from>
      <xdr:col>8</xdr:col>
      <xdr:colOff>19371</xdr:colOff>
      <xdr:row>157</xdr:row>
      <xdr:rowOff>8486</xdr:rowOff>
    </xdr:from>
    <xdr:to>
      <xdr:col>13</xdr:col>
      <xdr:colOff>402771</xdr:colOff>
      <xdr:row>164</xdr:row>
      <xdr:rowOff>141514</xdr:rowOff>
    </xdr:to>
    <xdr:pic>
      <xdr:nvPicPr>
        <xdr:cNvPr id="38" name="Imagem 37">
          <a:extLst>
            <a:ext uri="{FF2B5EF4-FFF2-40B4-BE49-F238E27FC236}">
              <a16:creationId xmlns:a16="http://schemas.microsoft.com/office/drawing/2014/main" id="{11BC70D7-100B-D34B-5466-2D70EB33029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219771" y="28137172"/>
          <a:ext cx="2614971" cy="1352228"/>
        </a:xfrm>
        <a:prstGeom prst="rect">
          <a:avLst/>
        </a:prstGeom>
      </xdr:spPr>
    </xdr:pic>
    <xdr:clientData/>
  </xdr:twoCellAnchor>
  <xdr:twoCellAnchor editAs="oneCell">
    <xdr:from>
      <xdr:col>1</xdr:col>
      <xdr:colOff>32657</xdr:colOff>
      <xdr:row>177</xdr:row>
      <xdr:rowOff>10885</xdr:rowOff>
    </xdr:from>
    <xdr:to>
      <xdr:col>6</xdr:col>
      <xdr:colOff>402770</xdr:colOff>
      <xdr:row>185</xdr:row>
      <xdr:rowOff>0</xdr:rowOff>
    </xdr:to>
    <xdr:pic>
      <xdr:nvPicPr>
        <xdr:cNvPr id="41" name="Imagem 40">
          <a:extLst>
            <a:ext uri="{FF2B5EF4-FFF2-40B4-BE49-F238E27FC236}">
              <a16:creationId xmlns:a16="http://schemas.microsoft.com/office/drawing/2014/main" id="{441CD648-4F4D-8216-E58E-53A047617E4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11628" y="31710085"/>
          <a:ext cx="2601685" cy="1382486"/>
        </a:xfrm>
        <a:prstGeom prst="rect">
          <a:avLst/>
        </a:prstGeom>
      </xdr:spPr>
    </xdr:pic>
    <xdr:clientData/>
  </xdr:twoCellAnchor>
  <xdr:twoCellAnchor editAs="oneCell">
    <xdr:from>
      <xdr:col>8</xdr:col>
      <xdr:colOff>43543</xdr:colOff>
      <xdr:row>177</xdr:row>
      <xdr:rowOff>21772</xdr:rowOff>
    </xdr:from>
    <xdr:to>
      <xdr:col>13</xdr:col>
      <xdr:colOff>380999</xdr:colOff>
      <xdr:row>184</xdr:row>
      <xdr:rowOff>152399</xdr:rowOff>
    </xdr:to>
    <xdr:pic>
      <xdr:nvPicPr>
        <xdr:cNvPr id="43" name="Imagem 42">
          <a:extLst>
            <a:ext uri="{FF2B5EF4-FFF2-40B4-BE49-F238E27FC236}">
              <a16:creationId xmlns:a16="http://schemas.microsoft.com/office/drawing/2014/main" id="{C7C9494E-5684-28DC-5705-9679CE6D536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243943" y="31720972"/>
          <a:ext cx="2569027" cy="1349828"/>
        </a:xfrm>
        <a:prstGeom prst="rect">
          <a:avLst/>
        </a:prstGeom>
      </xdr:spPr>
    </xdr:pic>
    <xdr:clientData/>
  </xdr:twoCellAnchor>
  <xdr:twoCellAnchor editAs="oneCell">
    <xdr:from>
      <xdr:col>8</xdr:col>
      <xdr:colOff>10886</xdr:colOff>
      <xdr:row>187</xdr:row>
      <xdr:rowOff>43542</xdr:rowOff>
    </xdr:from>
    <xdr:to>
      <xdr:col>13</xdr:col>
      <xdr:colOff>430306</xdr:colOff>
      <xdr:row>194</xdr:row>
      <xdr:rowOff>143436</xdr:rowOff>
    </xdr:to>
    <xdr:pic>
      <xdr:nvPicPr>
        <xdr:cNvPr id="46" name="Imagem 45">
          <a:extLst>
            <a:ext uri="{FF2B5EF4-FFF2-40B4-BE49-F238E27FC236}">
              <a16:creationId xmlns:a16="http://schemas.microsoft.com/office/drawing/2014/main" id="{03023E7E-9223-5375-456D-3172B2088766}"/>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220251" y="33822554"/>
          <a:ext cx="2660596" cy="1354952"/>
        </a:xfrm>
        <a:prstGeom prst="rect">
          <a:avLst/>
        </a:prstGeom>
      </xdr:spPr>
    </xdr:pic>
    <xdr:clientData/>
  </xdr:twoCellAnchor>
  <xdr:twoCellAnchor editAs="oneCell">
    <xdr:from>
      <xdr:col>1</xdr:col>
      <xdr:colOff>57150</xdr:colOff>
      <xdr:row>187</xdr:row>
      <xdr:rowOff>57150</xdr:rowOff>
    </xdr:from>
    <xdr:to>
      <xdr:col>6</xdr:col>
      <xdr:colOff>412376</xdr:colOff>
      <xdr:row>194</xdr:row>
      <xdr:rowOff>161365</xdr:rowOff>
    </xdr:to>
    <xdr:pic>
      <xdr:nvPicPr>
        <xdr:cNvPr id="51" name="Imagem 50">
          <a:extLst>
            <a:ext uri="{FF2B5EF4-FFF2-40B4-BE49-F238E27FC236}">
              <a16:creationId xmlns:a16="http://schemas.microsoft.com/office/drawing/2014/main" id="{FAAB5F84-83A1-658B-329C-F743275A1E65}"/>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541244" y="33836162"/>
          <a:ext cx="2596403" cy="1359273"/>
        </a:xfrm>
        <a:prstGeom prst="rect">
          <a:avLst/>
        </a:prstGeom>
      </xdr:spPr>
    </xdr:pic>
    <xdr:clientData/>
  </xdr:twoCellAnchor>
  <xdr:twoCellAnchor editAs="oneCell">
    <xdr:from>
      <xdr:col>1</xdr:col>
      <xdr:colOff>7474</xdr:colOff>
      <xdr:row>197</xdr:row>
      <xdr:rowOff>17929</xdr:rowOff>
    </xdr:from>
    <xdr:to>
      <xdr:col>6</xdr:col>
      <xdr:colOff>401921</xdr:colOff>
      <xdr:row>204</xdr:row>
      <xdr:rowOff>161364</xdr:rowOff>
    </xdr:to>
    <xdr:pic>
      <xdr:nvPicPr>
        <xdr:cNvPr id="53" name="Imagem 52">
          <a:extLst>
            <a:ext uri="{FF2B5EF4-FFF2-40B4-BE49-F238E27FC236}">
              <a16:creationId xmlns:a16="http://schemas.microsoft.com/office/drawing/2014/main" id="{325F4D7A-9E4A-4242-B36E-8ED2A1C50088}"/>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91568" y="35589882"/>
          <a:ext cx="2635624" cy="1398494"/>
        </a:xfrm>
        <a:prstGeom prst="rect">
          <a:avLst/>
        </a:prstGeom>
      </xdr:spPr>
    </xdr:pic>
    <xdr:clientData/>
  </xdr:twoCellAnchor>
  <xdr:twoCellAnchor editAs="oneCell">
    <xdr:from>
      <xdr:col>8</xdr:col>
      <xdr:colOff>7473</xdr:colOff>
      <xdr:row>197</xdr:row>
      <xdr:rowOff>8965</xdr:rowOff>
    </xdr:from>
    <xdr:to>
      <xdr:col>13</xdr:col>
      <xdr:colOff>401921</xdr:colOff>
      <xdr:row>204</xdr:row>
      <xdr:rowOff>152400</xdr:rowOff>
    </xdr:to>
    <xdr:pic>
      <xdr:nvPicPr>
        <xdr:cNvPr id="55" name="Imagem 54">
          <a:extLst>
            <a:ext uri="{FF2B5EF4-FFF2-40B4-BE49-F238E27FC236}">
              <a16:creationId xmlns:a16="http://schemas.microsoft.com/office/drawing/2014/main" id="{82891FA4-0DCB-4547-820D-1DB9246C64B1}"/>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3216838" y="35580918"/>
          <a:ext cx="2635624" cy="1398494"/>
        </a:xfrm>
        <a:prstGeom prst="rect">
          <a:avLst/>
        </a:prstGeom>
      </xdr:spPr>
    </xdr:pic>
    <xdr:clientData/>
  </xdr:twoCellAnchor>
  <xdr:twoCellAnchor editAs="oneCell">
    <xdr:from>
      <xdr:col>1</xdr:col>
      <xdr:colOff>36612</xdr:colOff>
      <xdr:row>207</xdr:row>
      <xdr:rowOff>9284</xdr:rowOff>
    </xdr:from>
    <xdr:to>
      <xdr:col>6</xdr:col>
      <xdr:colOff>412167</xdr:colOff>
      <xdr:row>214</xdr:row>
      <xdr:rowOff>134470</xdr:rowOff>
    </xdr:to>
    <xdr:pic>
      <xdr:nvPicPr>
        <xdr:cNvPr id="56" name="Imagem 55">
          <a:extLst>
            <a:ext uri="{FF2B5EF4-FFF2-40B4-BE49-F238E27FC236}">
              <a16:creationId xmlns:a16="http://schemas.microsoft.com/office/drawing/2014/main" id="{B4B04B66-E154-45D2-89DE-A3DF3102CDDD}"/>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rot="16200000">
          <a:off x="1138949" y="36791794"/>
          <a:ext cx="1380245" cy="2616732"/>
        </a:xfrm>
        <a:prstGeom prst="rect">
          <a:avLst/>
        </a:prstGeom>
      </xdr:spPr>
    </xdr:pic>
    <xdr:clientData/>
  </xdr:twoCellAnchor>
  <xdr:twoCellAnchor editAs="oneCell">
    <xdr:from>
      <xdr:col>8</xdr:col>
      <xdr:colOff>39653</xdr:colOff>
      <xdr:row>207</xdr:row>
      <xdr:rowOff>12326</xdr:rowOff>
    </xdr:from>
    <xdr:to>
      <xdr:col>13</xdr:col>
      <xdr:colOff>401282</xdr:colOff>
      <xdr:row>214</xdr:row>
      <xdr:rowOff>134469</xdr:rowOff>
    </xdr:to>
    <xdr:pic>
      <xdr:nvPicPr>
        <xdr:cNvPr id="59" name="Imagem 58">
          <a:extLst>
            <a:ext uri="{FF2B5EF4-FFF2-40B4-BE49-F238E27FC236}">
              <a16:creationId xmlns:a16="http://schemas.microsoft.com/office/drawing/2014/main" id="{7E9A2AF8-2DDE-4EAB-94E7-CA5C0ADE4F78}"/>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249018" y="37413079"/>
          <a:ext cx="2602805" cy="1377202"/>
        </a:xfrm>
        <a:prstGeom prst="rect">
          <a:avLst/>
        </a:prstGeom>
      </xdr:spPr>
    </xdr:pic>
    <xdr:clientData/>
  </xdr:twoCellAnchor>
  <xdr:twoCellAnchor editAs="oneCell">
    <xdr:from>
      <xdr:col>8</xdr:col>
      <xdr:colOff>40131</xdr:colOff>
      <xdr:row>227</xdr:row>
      <xdr:rowOff>14726</xdr:rowOff>
    </xdr:from>
    <xdr:to>
      <xdr:col>13</xdr:col>
      <xdr:colOff>399360</xdr:colOff>
      <xdr:row>234</xdr:row>
      <xdr:rowOff>134469</xdr:rowOff>
    </xdr:to>
    <xdr:pic>
      <xdr:nvPicPr>
        <xdr:cNvPr id="60" name="Imagem 59">
          <a:extLst>
            <a:ext uri="{FF2B5EF4-FFF2-40B4-BE49-F238E27FC236}">
              <a16:creationId xmlns:a16="http://schemas.microsoft.com/office/drawing/2014/main" id="{DCA91C67-F40D-485B-A980-97E80ED35829}"/>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3249496" y="41073079"/>
          <a:ext cx="2600405" cy="1374803"/>
        </a:xfrm>
        <a:prstGeom prst="rect">
          <a:avLst/>
        </a:prstGeom>
      </xdr:spPr>
    </xdr:pic>
    <xdr:clientData/>
  </xdr:twoCellAnchor>
  <xdr:twoCellAnchor editAs="oneCell">
    <xdr:from>
      <xdr:col>1</xdr:col>
      <xdr:colOff>26845</xdr:colOff>
      <xdr:row>227</xdr:row>
      <xdr:rowOff>12327</xdr:rowOff>
    </xdr:from>
    <xdr:to>
      <xdr:col>6</xdr:col>
      <xdr:colOff>410245</xdr:colOff>
      <xdr:row>234</xdr:row>
      <xdr:rowOff>161362</xdr:rowOff>
    </xdr:to>
    <xdr:pic>
      <xdr:nvPicPr>
        <xdr:cNvPr id="64" name="Imagem 63">
          <a:extLst>
            <a:ext uri="{FF2B5EF4-FFF2-40B4-BE49-F238E27FC236}">
              <a16:creationId xmlns:a16="http://schemas.microsoft.com/office/drawing/2014/main" id="{88E6DEC7-170F-465E-8D1C-4319AB95F1CC}"/>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510939" y="41070680"/>
          <a:ext cx="2624577" cy="1404095"/>
        </a:xfrm>
        <a:prstGeom prst="rect">
          <a:avLst/>
        </a:prstGeom>
      </xdr:spPr>
    </xdr:pic>
    <xdr:clientData/>
  </xdr:twoCellAnchor>
  <xdr:twoCellAnchor editAs="oneCell">
    <xdr:from>
      <xdr:col>15</xdr:col>
      <xdr:colOff>0</xdr:colOff>
      <xdr:row>237</xdr:row>
      <xdr:rowOff>161162</xdr:rowOff>
    </xdr:from>
    <xdr:to>
      <xdr:col>22</xdr:col>
      <xdr:colOff>292261</xdr:colOff>
      <xdr:row>245</xdr:row>
      <xdr:rowOff>106134</xdr:rowOff>
    </xdr:to>
    <xdr:pic>
      <xdr:nvPicPr>
        <xdr:cNvPr id="68" name="Imagem 67">
          <a:extLst>
            <a:ext uri="{FF2B5EF4-FFF2-40B4-BE49-F238E27FC236}">
              <a16:creationId xmlns:a16="http://schemas.microsoft.com/office/drawing/2014/main" id="{7B5CD4CF-CBF1-4677-B491-7EF7ADA2CB57}"/>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284259" y="43048315"/>
          <a:ext cx="2614120" cy="1379325"/>
        </a:xfrm>
        <a:prstGeom prst="rect">
          <a:avLst/>
        </a:prstGeom>
      </xdr:spPr>
    </xdr:pic>
    <xdr:clientData/>
  </xdr:twoCellAnchor>
  <xdr:twoCellAnchor editAs="oneCell">
    <xdr:from>
      <xdr:col>23</xdr:col>
      <xdr:colOff>91089</xdr:colOff>
      <xdr:row>238</xdr:row>
      <xdr:rowOff>1239</xdr:rowOff>
    </xdr:from>
    <xdr:to>
      <xdr:col>29</xdr:col>
      <xdr:colOff>123374</xdr:colOff>
      <xdr:row>245</xdr:row>
      <xdr:rowOff>125505</xdr:rowOff>
    </xdr:to>
    <xdr:pic>
      <xdr:nvPicPr>
        <xdr:cNvPr id="74" name="Imagem 73">
          <a:extLst>
            <a:ext uri="{FF2B5EF4-FFF2-40B4-BE49-F238E27FC236}">
              <a16:creationId xmlns:a16="http://schemas.microsoft.com/office/drawing/2014/main" id="{74A084D1-9FE6-4223-9B10-CCA5DC3673DC}"/>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028901" y="43067686"/>
          <a:ext cx="2614120" cy="1379325"/>
        </a:xfrm>
        <a:prstGeom prst="rect">
          <a:avLst/>
        </a:prstGeom>
      </xdr:spPr>
    </xdr:pic>
    <xdr:clientData/>
  </xdr:twoCellAnchor>
  <xdr:twoCellAnchor editAs="oneCell">
    <xdr:from>
      <xdr:col>15</xdr:col>
      <xdr:colOff>0</xdr:colOff>
      <xdr:row>247</xdr:row>
      <xdr:rowOff>172048</xdr:rowOff>
    </xdr:from>
    <xdr:to>
      <xdr:col>22</xdr:col>
      <xdr:colOff>292261</xdr:colOff>
      <xdr:row>255</xdr:row>
      <xdr:rowOff>117020</xdr:rowOff>
    </xdr:to>
    <xdr:pic>
      <xdr:nvPicPr>
        <xdr:cNvPr id="77" name="Imagem 76">
          <a:extLst>
            <a:ext uri="{FF2B5EF4-FFF2-40B4-BE49-F238E27FC236}">
              <a16:creationId xmlns:a16="http://schemas.microsoft.com/office/drawing/2014/main" id="{6A8F0249-1664-4784-A49E-B718FBDFC54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284259" y="44888001"/>
          <a:ext cx="2614120" cy="1379325"/>
        </a:xfrm>
        <a:prstGeom prst="rect">
          <a:avLst/>
        </a:prstGeom>
      </xdr:spPr>
    </xdr:pic>
    <xdr:clientData/>
  </xdr:twoCellAnchor>
  <xdr:twoCellAnchor editAs="oneCell">
    <xdr:from>
      <xdr:col>23</xdr:col>
      <xdr:colOff>91089</xdr:colOff>
      <xdr:row>248</xdr:row>
      <xdr:rowOff>12125</xdr:rowOff>
    </xdr:from>
    <xdr:to>
      <xdr:col>29</xdr:col>
      <xdr:colOff>123374</xdr:colOff>
      <xdr:row>255</xdr:row>
      <xdr:rowOff>136391</xdr:rowOff>
    </xdr:to>
    <xdr:pic>
      <xdr:nvPicPr>
        <xdr:cNvPr id="83" name="Imagem 82">
          <a:extLst>
            <a:ext uri="{FF2B5EF4-FFF2-40B4-BE49-F238E27FC236}">
              <a16:creationId xmlns:a16="http://schemas.microsoft.com/office/drawing/2014/main" id="{395AB2C2-0A80-4517-83A6-8178267D87DC}"/>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028901" y="44907372"/>
          <a:ext cx="2614120" cy="1379325"/>
        </a:xfrm>
        <a:prstGeom prst="rect">
          <a:avLst/>
        </a:prstGeom>
      </xdr:spPr>
    </xdr:pic>
    <xdr:clientData/>
  </xdr:twoCellAnchor>
  <xdr:twoCellAnchor editAs="oneCell">
    <xdr:from>
      <xdr:col>1</xdr:col>
      <xdr:colOff>33086</xdr:colOff>
      <xdr:row>237</xdr:row>
      <xdr:rowOff>23691</xdr:rowOff>
    </xdr:from>
    <xdr:to>
      <xdr:col>6</xdr:col>
      <xdr:colOff>403201</xdr:colOff>
      <xdr:row>244</xdr:row>
      <xdr:rowOff>154320</xdr:rowOff>
    </xdr:to>
    <xdr:pic>
      <xdr:nvPicPr>
        <xdr:cNvPr id="85" name="Imagem 84">
          <a:extLst>
            <a:ext uri="{FF2B5EF4-FFF2-40B4-BE49-F238E27FC236}">
              <a16:creationId xmlns:a16="http://schemas.microsoft.com/office/drawing/2014/main" id="{F6BAF295-63AD-4A2D-A086-D89DB34F45AF}"/>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517180" y="42910844"/>
          <a:ext cx="2611292" cy="1385688"/>
        </a:xfrm>
        <a:prstGeom prst="rect">
          <a:avLst/>
        </a:prstGeom>
      </xdr:spPr>
    </xdr:pic>
    <xdr:clientData/>
  </xdr:twoCellAnchor>
  <xdr:twoCellAnchor editAs="oneCell">
    <xdr:from>
      <xdr:col>8</xdr:col>
      <xdr:colOff>30686</xdr:colOff>
      <xdr:row>237</xdr:row>
      <xdr:rowOff>21293</xdr:rowOff>
    </xdr:from>
    <xdr:to>
      <xdr:col>13</xdr:col>
      <xdr:colOff>392316</xdr:colOff>
      <xdr:row>244</xdr:row>
      <xdr:rowOff>154321</xdr:rowOff>
    </xdr:to>
    <xdr:pic>
      <xdr:nvPicPr>
        <xdr:cNvPr id="88" name="Imagem 87">
          <a:extLst>
            <a:ext uri="{FF2B5EF4-FFF2-40B4-BE49-F238E27FC236}">
              <a16:creationId xmlns:a16="http://schemas.microsoft.com/office/drawing/2014/main" id="{7D1A793B-4A0B-4A54-829A-E47D9EFAB371}"/>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240051" y="42908446"/>
          <a:ext cx="2602806" cy="1388087"/>
        </a:xfrm>
        <a:prstGeom prst="rect">
          <a:avLst/>
        </a:prstGeom>
      </xdr:spPr>
    </xdr:pic>
    <xdr:clientData/>
  </xdr:twoCellAnchor>
  <xdr:twoCellAnchor editAs="oneCell">
    <xdr:from>
      <xdr:col>8</xdr:col>
      <xdr:colOff>14678</xdr:colOff>
      <xdr:row>297</xdr:row>
      <xdr:rowOff>28535</xdr:rowOff>
    </xdr:from>
    <xdr:to>
      <xdr:col>13</xdr:col>
      <xdr:colOff>332764</xdr:colOff>
      <xdr:row>304</xdr:row>
      <xdr:rowOff>161084</xdr:rowOff>
    </xdr:to>
    <xdr:pic>
      <xdr:nvPicPr>
        <xdr:cNvPr id="95" name="Imagem 94">
          <a:extLst>
            <a:ext uri="{FF2B5EF4-FFF2-40B4-BE49-F238E27FC236}">
              <a16:creationId xmlns:a16="http://schemas.microsoft.com/office/drawing/2014/main" id="{0DDD688D-DFB7-4AEA-88B2-61922B5C40B1}"/>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166332" y="55196495"/>
          <a:ext cx="2524245" cy="1309167"/>
        </a:xfrm>
        <a:prstGeom prst="rect">
          <a:avLst/>
        </a:prstGeom>
      </xdr:spPr>
    </xdr:pic>
    <xdr:clientData/>
  </xdr:twoCellAnchor>
  <xdr:twoCellAnchor editAs="oneCell">
    <xdr:from>
      <xdr:col>23</xdr:col>
      <xdr:colOff>148029</xdr:colOff>
      <xdr:row>288</xdr:row>
      <xdr:rowOff>6083</xdr:rowOff>
    </xdr:from>
    <xdr:to>
      <xdr:col>29</xdr:col>
      <xdr:colOff>184684</xdr:colOff>
      <xdr:row>295</xdr:row>
      <xdr:rowOff>152397</xdr:rowOff>
    </xdr:to>
    <xdr:pic>
      <xdr:nvPicPr>
        <xdr:cNvPr id="98" name="Imagem 97">
          <a:extLst>
            <a:ext uri="{FF2B5EF4-FFF2-40B4-BE49-F238E27FC236}">
              <a16:creationId xmlns:a16="http://schemas.microsoft.com/office/drawing/2014/main" id="{DD571AF9-C3D5-4B35-81B8-0D18B38A1D8F}"/>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9085841" y="52180671"/>
          <a:ext cx="2618490" cy="1401373"/>
        </a:xfrm>
        <a:prstGeom prst="rect">
          <a:avLst/>
        </a:prstGeom>
      </xdr:spPr>
    </xdr:pic>
    <xdr:clientData/>
  </xdr:twoCellAnchor>
  <xdr:twoCellAnchor editAs="oneCell">
    <xdr:from>
      <xdr:col>1</xdr:col>
      <xdr:colOff>15002</xdr:colOff>
      <xdr:row>307</xdr:row>
      <xdr:rowOff>16491</xdr:rowOff>
    </xdr:from>
    <xdr:to>
      <xdr:col>6</xdr:col>
      <xdr:colOff>392315</xdr:colOff>
      <xdr:row>314</xdr:row>
      <xdr:rowOff>162806</xdr:rowOff>
    </xdr:to>
    <xdr:pic>
      <xdr:nvPicPr>
        <xdr:cNvPr id="101" name="Imagem 100">
          <a:extLst>
            <a:ext uri="{FF2B5EF4-FFF2-40B4-BE49-F238E27FC236}">
              <a16:creationId xmlns:a16="http://schemas.microsoft.com/office/drawing/2014/main" id="{395CB0C7-A422-4FF0-94BE-A6DC119FABB8}"/>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99096" y="55633526"/>
          <a:ext cx="2618490" cy="1401373"/>
        </a:xfrm>
        <a:prstGeom prst="rect">
          <a:avLst/>
        </a:prstGeom>
      </xdr:spPr>
    </xdr:pic>
    <xdr:clientData/>
  </xdr:twoCellAnchor>
  <xdr:twoCellAnchor editAs="oneCell">
    <xdr:from>
      <xdr:col>15</xdr:col>
      <xdr:colOff>33088</xdr:colOff>
      <xdr:row>277</xdr:row>
      <xdr:rowOff>102454</xdr:rowOff>
    </xdr:from>
    <xdr:to>
      <xdr:col>22</xdr:col>
      <xdr:colOff>300748</xdr:colOff>
      <xdr:row>285</xdr:row>
      <xdr:rowOff>64673</xdr:rowOff>
    </xdr:to>
    <xdr:pic>
      <xdr:nvPicPr>
        <xdr:cNvPr id="102" name="Imagem 101">
          <a:extLst>
            <a:ext uri="{FF2B5EF4-FFF2-40B4-BE49-F238E27FC236}">
              <a16:creationId xmlns:a16="http://schemas.microsoft.com/office/drawing/2014/main" id="{09A5DD1D-B928-441F-BD7A-929E4AF8F886}"/>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rot="16200000">
          <a:off x="6913821" y="49708333"/>
          <a:ext cx="1396572" cy="2589519"/>
        </a:xfrm>
        <a:prstGeom prst="rect">
          <a:avLst/>
        </a:prstGeom>
      </xdr:spPr>
    </xdr:pic>
    <xdr:clientData/>
  </xdr:twoCellAnchor>
  <xdr:twoCellAnchor editAs="oneCell">
    <xdr:from>
      <xdr:col>15</xdr:col>
      <xdr:colOff>26629</xdr:colOff>
      <xdr:row>297</xdr:row>
      <xdr:rowOff>175090</xdr:rowOff>
    </xdr:from>
    <xdr:to>
      <xdr:col>22</xdr:col>
      <xdr:colOff>312993</xdr:colOff>
      <xdr:row>305</xdr:row>
      <xdr:rowOff>114617</xdr:rowOff>
    </xdr:to>
    <xdr:pic>
      <xdr:nvPicPr>
        <xdr:cNvPr id="104" name="Imagem 103">
          <a:extLst>
            <a:ext uri="{FF2B5EF4-FFF2-40B4-BE49-F238E27FC236}">
              <a16:creationId xmlns:a16="http://schemas.microsoft.com/office/drawing/2014/main" id="{C2BB4897-7D4C-469C-A8B5-42F41FEEAE5E}"/>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310888" y="53963325"/>
          <a:ext cx="2617748" cy="1373881"/>
        </a:xfrm>
        <a:prstGeom prst="rect">
          <a:avLst/>
        </a:prstGeom>
      </xdr:spPr>
    </xdr:pic>
    <xdr:clientData/>
  </xdr:twoCellAnchor>
  <xdr:twoCellAnchor editAs="oneCell">
    <xdr:from>
      <xdr:col>15</xdr:col>
      <xdr:colOff>29459</xdr:colOff>
      <xdr:row>308</xdr:row>
      <xdr:rowOff>16648</xdr:rowOff>
    </xdr:from>
    <xdr:to>
      <xdr:col>22</xdr:col>
      <xdr:colOff>312994</xdr:colOff>
      <xdr:row>315</xdr:row>
      <xdr:rowOff>138314</xdr:rowOff>
    </xdr:to>
    <xdr:pic>
      <xdr:nvPicPr>
        <xdr:cNvPr id="105" name="Imagem 104">
          <a:extLst>
            <a:ext uri="{FF2B5EF4-FFF2-40B4-BE49-F238E27FC236}">
              <a16:creationId xmlns:a16="http://schemas.microsoft.com/office/drawing/2014/main" id="{FD953033-56C0-4E82-BE8D-CDA889CBD2B9}"/>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6313718" y="55812977"/>
          <a:ext cx="2614919" cy="1376724"/>
        </a:xfrm>
        <a:prstGeom prst="rect">
          <a:avLst/>
        </a:prstGeom>
      </xdr:spPr>
    </xdr:pic>
    <xdr:clientData/>
  </xdr:twoCellAnchor>
  <xdr:twoCellAnchor editAs="oneCell">
    <xdr:from>
      <xdr:col>1</xdr:col>
      <xdr:colOff>29246</xdr:colOff>
      <xdr:row>337</xdr:row>
      <xdr:rowOff>3842</xdr:rowOff>
    </xdr:from>
    <xdr:to>
      <xdr:col>6</xdr:col>
      <xdr:colOff>388474</xdr:colOff>
      <xdr:row>344</xdr:row>
      <xdr:rowOff>145357</xdr:rowOff>
    </xdr:to>
    <xdr:pic>
      <xdr:nvPicPr>
        <xdr:cNvPr id="113" name="Imagem 112">
          <a:extLst>
            <a:ext uri="{FF2B5EF4-FFF2-40B4-BE49-F238E27FC236}">
              <a16:creationId xmlns:a16="http://schemas.microsoft.com/office/drawing/2014/main" id="{7529B362-454C-48E2-84FB-43F828FC9AE6}"/>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513340" y="61107277"/>
          <a:ext cx="2600405" cy="1387609"/>
        </a:xfrm>
        <a:prstGeom prst="rect">
          <a:avLst/>
        </a:prstGeom>
      </xdr:spPr>
    </xdr:pic>
    <xdr:clientData/>
  </xdr:twoCellAnchor>
  <xdr:twoCellAnchor editAs="oneCell">
    <xdr:from>
      <xdr:col>8</xdr:col>
      <xdr:colOff>40131</xdr:colOff>
      <xdr:row>337</xdr:row>
      <xdr:rowOff>1443</xdr:rowOff>
    </xdr:from>
    <xdr:to>
      <xdr:col>13</xdr:col>
      <xdr:colOff>410245</xdr:colOff>
      <xdr:row>344</xdr:row>
      <xdr:rowOff>134472</xdr:rowOff>
    </xdr:to>
    <xdr:pic>
      <xdr:nvPicPr>
        <xdr:cNvPr id="115" name="Imagem 114">
          <a:extLst>
            <a:ext uri="{FF2B5EF4-FFF2-40B4-BE49-F238E27FC236}">
              <a16:creationId xmlns:a16="http://schemas.microsoft.com/office/drawing/2014/main" id="{37EBBD20-5611-4139-A4F0-BE44CFFA0BA3}"/>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3249496" y="61104878"/>
          <a:ext cx="2611290" cy="1379123"/>
        </a:xfrm>
        <a:prstGeom prst="rect">
          <a:avLst/>
        </a:prstGeom>
      </xdr:spPr>
    </xdr:pic>
    <xdr:clientData/>
  </xdr:twoCellAnchor>
  <xdr:twoCellAnchor editAs="oneCell">
    <xdr:from>
      <xdr:col>1</xdr:col>
      <xdr:colOff>64148</xdr:colOff>
      <xdr:row>347</xdr:row>
      <xdr:rowOff>18891</xdr:rowOff>
    </xdr:from>
    <xdr:to>
      <xdr:col>6</xdr:col>
      <xdr:colOff>417290</xdr:colOff>
      <xdr:row>354</xdr:row>
      <xdr:rowOff>165206</xdr:rowOff>
    </xdr:to>
    <xdr:pic>
      <xdr:nvPicPr>
        <xdr:cNvPr id="123" name="Imagem 122">
          <a:extLst>
            <a:ext uri="{FF2B5EF4-FFF2-40B4-BE49-F238E27FC236}">
              <a16:creationId xmlns:a16="http://schemas.microsoft.com/office/drawing/2014/main" id="{363903BE-54BA-4D5A-BE22-80C6962AAEAA}"/>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548242" y="62951126"/>
          <a:ext cx="2594319" cy="1392409"/>
        </a:xfrm>
        <a:prstGeom prst="rect">
          <a:avLst/>
        </a:prstGeom>
      </xdr:spPr>
    </xdr:pic>
    <xdr:clientData/>
  </xdr:twoCellAnchor>
  <xdr:twoCellAnchor editAs="oneCell">
    <xdr:from>
      <xdr:col>8</xdr:col>
      <xdr:colOff>48461</xdr:colOff>
      <xdr:row>347</xdr:row>
      <xdr:rowOff>14092</xdr:rowOff>
    </xdr:from>
    <xdr:to>
      <xdr:col>13</xdr:col>
      <xdr:colOff>439062</xdr:colOff>
      <xdr:row>354</xdr:row>
      <xdr:rowOff>143435</xdr:rowOff>
    </xdr:to>
    <xdr:pic>
      <xdr:nvPicPr>
        <xdr:cNvPr id="124" name="Imagem 123">
          <a:extLst>
            <a:ext uri="{FF2B5EF4-FFF2-40B4-BE49-F238E27FC236}">
              <a16:creationId xmlns:a16="http://schemas.microsoft.com/office/drawing/2014/main" id="{7BE4DEB1-2CF3-4510-BA82-2FE90C689837}"/>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257826" y="62946327"/>
          <a:ext cx="2631777" cy="1375437"/>
        </a:xfrm>
        <a:prstGeom prst="rect">
          <a:avLst/>
        </a:prstGeom>
      </xdr:spPr>
    </xdr:pic>
    <xdr:clientData/>
  </xdr:twoCellAnchor>
  <xdr:twoCellAnchor editAs="oneCell">
    <xdr:from>
      <xdr:col>23</xdr:col>
      <xdr:colOff>87460</xdr:colOff>
      <xdr:row>338</xdr:row>
      <xdr:rowOff>14726</xdr:rowOff>
    </xdr:from>
    <xdr:to>
      <xdr:col>29</xdr:col>
      <xdr:colOff>101603</xdr:colOff>
      <xdr:row>345</xdr:row>
      <xdr:rowOff>136391</xdr:rowOff>
    </xdr:to>
    <xdr:pic>
      <xdr:nvPicPr>
        <xdr:cNvPr id="129" name="Imagem 128">
          <a:extLst>
            <a:ext uri="{FF2B5EF4-FFF2-40B4-BE49-F238E27FC236}">
              <a16:creationId xmlns:a16="http://schemas.microsoft.com/office/drawing/2014/main" id="{F9087921-7348-4F9C-B98B-540343B26926}"/>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9025272" y="61288491"/>
          <a:ext cx="2595978" cy="1376723"/>
        </a:xfrm>
        <a:prstGeom prst="rect">
          <a:avLst/>
        </a:prstGeom>
      </xdr:spPr>
    </xdr:pic>
    <xdr:clientData/>
  </xdr:twoCellAnchor>
  <xdr:twoCellAnchor editAs="oneCell">
    <xdr:from>
      <xdr:col>15</xdr:col>
      <xdr:colOff>22201</xdr:colOff>
      <xdr:row>257</xdr:row>
      <xdr:rowOff>174170</xdr:rowOff>
    </xdr:from>
    <xdr:to>
      <xdr:col>23</xdr:col>
      <xdr:colOff>1710</xdr:colOff>
      <xdr:row>265</xdr:row>
      <xdr:rowOff>92847</xdr:rowOff>
    </xdr:to>
    <xdr:pic>
      <xdr:nvPicPr>
        <xdr:cNvPr id="131" name="Imagem 130">
          <a:extLst>
            <a:ext uri="{FF2B5EF4-FFF2-40B4-BE49-F238E27FC236}">
              <a16:creationId xmlns:a16="http://schemas.microsoft.com/office/drawing/2014/main" id="{B9DF3175-4BD9-4CC4-9F8C-F5E005C6934D}"/>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6306460" y="46718923"/>
          <a:ext cx="2633062" cy="1353030"/>
        </a:xfrm>
        <a:prstGeom prst="rect">
          <a:avLst/>
        </a:prstGeom>
      </xdr:spPr>
    </xdr:pic>
    <xdr:clientData/>
  </xdr:twoCellAnchor>
  <xdr:twoCellAnchor editAs="oneCell">
    <xdr:from>
      <xdr:col>8</xdr:col>
      <xdr:colOff>14680</xdr:colOff>
      <xdr:row>267</xdr:row>
      <xdr:rowOff>36017</xdr:rowOff>
    </xdr:from>
    <xdr:to>
      <xdr:col>13</xdr:col>
      <xdr:colOff>376309</xdr:colOff>
      <xdr:row>274</xdr:row>
      <xdr:rowOff>131427</xdr:rowOff>
    </xdr:to>
    <xdr:pic>
      <xdr:nvPicPr>
        <xdr:cNvPr id="132" name="Imagem 131">
          <a:extLst>
            <a:ext uri="{FF2B5EF4-FFF2-40B4-BE49-F238E27FC236}">
              <a16:creationId xmlns:a16="http://schemas.microsoft.com/office/drawing/2014/main" id="{F38D9A2B-E401-4B43-967C-C5C7DA36AE0E}"/>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224045" y="48409570"/>
          <a:ext cx="2602805" cy="1350469"/>
        </a:xfrm>
        <a:prstGeom prst="rect">
          <a:avLst/>
        </a:prstGeom>
      </xdr:spPr>
    </xdr:pic>
    <xdr:clientData/>
  </xdr:twoCellAnchor>
  <xdr:twoCellAnchor editAs="oneCell">
    <xdr:from>
      <xdr:col>23</xdr:col>
      <xdr:colOff>104805</xdr:colOff>
      <xdr:row>267</xdr:row>
      <xdr:rowOff>138310</xdr:rowOff>
    </xdr:from>
    <xdr:to>
      <xdr:col>29</xdr:col>
      <xdr:colOff>123374</xdr:colOff>
      <xdr:row>275</xdr:row>
      <xdr:rowOff>78759</xdr:rowOff>
    </xdr:to>
    <xdr:pic>
      <xdr:nvPicPr>
        <xdr:cNvPr id="142" name="Imagem 141">
          <a:extLst>
            <a:ext uri="{FF2B5EF4-FFF2-40B4-BE49-F238E27FC236}">
              <a16:creationId xmlns:a16="http://schemas.microsoft.com/office/drawing/2014/main" id="{5DDDC19F-C110-412B-8DD6-DCDFC8BC221C}"/>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9042617" y="48511863"/>
          <a:ext cx="2600404" cy="1374802"/>
        </a:xfrm>
        <a:prstGeom prst="rect">
          <a:avLst/>
        </a:prstGeom>
      </xdr:spPr>
    </xdr:pic>
    <xdr:clientData/>
  </xdr:twoCellAnchor>
  <xdr:twoCellAnchor editAs="oneCell">
    <xdr:from>
      <xdr:col>15</xdr:col>
      <xdr:colOff>8917</xdr:colOff>
      <xdr:row>267</xdr:row>
      <xdr:rowOff>125025</xdr:rowOff>
    </xdr:from>
    <xdr:to>
      <xdr:col>22</xdr:col>
      <xdr:colOff>312994</xdr:colOff>
      <xdr:row>275</xdr:row>
      <xdr:rowOff>46102</xdr:rowOff>
    </xdr:to>
    <xdr:pic>
      <xdr:nvPicPr>
        <xdr:cNvPr id="144" name="Imagem 143">
          <a:extLst>
            <a:ext uri="{FF2B5EF4-FFF2-40B4-BE49-F238E27FC236}">
              <a16:creationId xmlns:a16="http://schemas.microsoft.com/office/drawing/2014/main" id="{CC3FBD3B-F96C-4098-B95D-BF33443A8E02}"/>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293176" y="48498578"/>
          <a:ext cx="2635461" cy="1355430"/>
        </a:xfrm>
        <a:prstGeom prst="rect">
          <a:avLst/>
        </a:prstGeom>
      </xdr:spPr>
    </xdr:pic>
    <xdr:clientData/>
  </xdr:twoCellAnchor>
  <xdr:twoCellAnchor editAs="oneCell">
    <xdr:from>
      <xdr:col>15</xdr:col>
      <xdr:colOff>36717</xdr:colOff>
      <xdr:row>338</xdr:row>
      <xdr:rowOff>14727</xdr:rowOff>
    </xdr:from>
    <xdr:to>
      <xdr:col>22</xdr:col>
      <xdr:colOff>268091</xdr:colOff>
      <xdr:row>345</xdr:row>
      <xdr:rowOff>125506</xdr:rowOff>
    </xdr:to>
    <xdr:pic>
      <xdr:nvPicPr>
        <xdr:cNvPr id="145" name="Imagem 144">
          <a:extLst>
            <a:ext uri="{FF2B5EF4-FFF2-40B4-BE49-F238E27FC236}">
              <a16:creationId xmlns:a16="http://schemas.microsoft.com/office/drawing/2014/main" id="{076DB94F-7C37-4021-B791-D3F126B4A2F5}"/>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6320976" y="61288492"/>
          <a:ext cx="2553233" cy="1365837"/>
        </a:xfrm>
        <a:prstGeom prst="rect">
          <a:avLst/>
        </a:prstGeom>
      </xdr:spPr>
    </xdr:pic>
    <xdr:clientData/>
  </xdr:twoCellAnchor>
  <xdr:twoCellAnchor editAs="oneCell">
    <xdr:from>
      <xdr:col>1</xdr:col>
      <xdr:colOff>29882</xdr:colOff>
      <xdr:row>247</xdr:row>
      <xdr:rowOff>35860</xdr:rowOff>
    </xdr:from>
    <xdr:to>
      <xdr:col>6</xdr:col>
      <xdr:colOff>430305</xdr:colOff>
      <xdr:row>255</xdr:row>
      <xdr:rowOff>2240</xdr:rowOff>
    </xdr:to>
    <xdr:pic>
      <xdr:nvPicPr>
        <xdr:cNvPr id="147" name="Imagem 146">
          <a:extLst>
            <a:ext uri="{FF2B5EF4-FFF2-40B4-BE49-F238E27FC236}">
              <a16:creationId xmlns:a16="http://schemas.microsoft.com/office/drawing/2014/main" id="{A289043B-5DC3-0AF6-6A6F-C5D21AA0F721}"/>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513976" y="44751813"/>
          <a:ext cx="2641600" cy="1389528"/>
        </a:xfrm>
        <a:prstGeom prst="rect">
          <a:avLst/>
        </a:prstGeom>
      </xdr:spPr>
    </xdr:pic>
    <xdr:clientData/>
  </xdr:twoCellAnchor>
  <xdr:twoCellAnchor editAs="oneCell">
    <xdr:from>
      <xdr:col>1</xdr:col>
      <xdr:colOff>26896</xdr:colOff>
      <xdr:row>257</xdr:row>
      <xdr:rowOff>8968</xdr:rowOff>
    </xdr:from>
    <xdr:to>
      <xdr:col>6</xdr:col>
      <xdr:colOff>412376</xdr:colOff>
      <xdr:row>265</xdr:row>
      <xdr:rowOff>2241</xdr:rowOff>
    </xdr:to>
    <xdr:pic>
      <xdr:nvPicPr>
        <xdr:cNvPr id="150" name="Imagem 149">
          <a:extLst>
            <a:ext uri="{FF2B5EF4-FFF2-40B4-BE49-F238E27FC236}">
              <a16:creationId xmlns:a16="http://schemas.microsoft.com/office/drawing/2014/main" id="{618A9869-6477-28A4-4BCC-A5310D01F3E3}"/>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510990" y="46553721"/>
          <a:ext cx="2626657" cy="1416420"/>
        </a:xfrm>
        <a:prstGeom prst="rect">
          <a:avLst/>
        </a:prstGeom>
      </xdr:spPr>
    </xdr:pic>
    <xdr:clientData/>
  </xdr:twoCellAnchor>
  <xdr:twoCellAnchor editAs="oneCell">
    <xdr:from>
      <xdr:col>1</xdr:col>
      <xdr:colOff>38100</xdr:colOff>
      <xdr:row>327</xdr:row>
      <xdr:rowOff>57150</xdr:rowOff>
    </xdr:from>
    <xdr:to>
      <xdr:col>6</xdr:col>
      <xdr:colOff>403411</xdr:colOff>
      <xdr:row>334</xdr:row>
      <xdr:rowOff>161365</xdr:rowOff>
    </xdr:to>
    <xdr:pic>
      <xdr:nvPicPr>
        <xdr:cNvPr id="154" name="Imagem 153">
          <a:extLst>
            <a:ext uri="{FF2B5EF4-FFF2-40B4-BE49-F238E27FC236}">
              <a16:creationId xmlns:a16="http://schemas.microsoft.com/office/drawing/2014/main" id="{68F30358-542F-5E7C-7A67-D6DDF8FD9791}"/>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522194" y="59331785"/>
          <a:ext cx="2606488" cy="1350309"/>
        </a:xfrm>
        <a:prstGeom prst="rect">
          <a:avLst/>
        </a:prstGeom>
      </xdr:spPr>
    </xdr:pic>
    <xdr:clientData/>
  </xdr:twoCellAnchor>
  <xdr:twoCellAnchor editAs="oneCell">
    <xdr:from>
      <xdr:col>8</xdr:col>
      <xdr:colOff>17929</xdr:colOff>
      <xdr:row>357</xdr:row>
      <xdr:rowOff>26893</xdr:rowOff>
    </xdr:from>
    <xdr:to>
      <xdr:col>13</xdr:col>
      <xdr:colOff>412377</xdr:colOff>
      <xdr:row>364</xdr:row>
      <xdr:rowOff>134470</xdr:rowOff>
    </xdr:to>
    <xdr:pic>
      <xdr:nvPicPr>
        <xdr:cNvPr id="157" name="Imagem 156">
          <a:extLst>
            <a:ext uri="{FF2B5EF4-FFF2-40B4-BE49-F238E27FC236}">
              <a16:creationId xmlns:a16="http://schemas.microsoft.com/office/drawing/2014/main" id="{FF5DABF8-1FDA-0E67-D21B-904AE5398116}"/>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3227294" y="64787928"/>
          <a:ext cx="2635624" cy="13536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89647</xdr:colOff>
      <xdr:row>0</xdr:row>
      <xdr:rowOff>68036</xdr:rowOff>
    </xdr:from>
    <xdr:ext cx="767923" cy="555099"/>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576172" y="68036"/>
          <a:ext cx="767923" cy="555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17</xdr:col>
      <xdr:colOff>381000</xdr:colOff>
      <xdr:row>0</xdr:row>
      <xdr:rowOff>40821</xdr:rowOff>
    </xdr:from>
    <xdr:to>
      <xdr:col>18</xdr:col>
      <xdr:colOff>643755</xdr:colOff>
      <xdr:row>3</xdr:row>
      <xdr:rowOff>148819</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16650" y="40821"/>
          <a:ext cx="1653268" cy="574723"/>
        </a:xfrm>
        <a:prstGeom prst="rect">
          <a:avLst/>
        </a:prstGeom>
      </xdr:spPr>
    </xdr:pic>
    <xdr:clientData/>
  </xdr:twoCellAnchor>
  <xdr:twoCellAnchor editAs="oneCell">
    <xdr:from>
      <xdr:col>22</xdr:col>
      <xdr:colOff>796636</xdr:colOff>
      <xdr:row>296</xdr:row>
      <xdr:rowOff>103910</xdr:rowOff>
    </xdr:from>
    <xdr:to>
      <xdr:col>35</xdr:col>
      <xdr:colOff>145747</xdr:colOff>
      <xdr:row>343</xdr:row>
      <xdr:rowOff>138823</xdr:rowOff>
    </xdr:to>
    <xdr:pic>
      <xdr:nvPicPr>
        <xdr:cNvPr id="4" name="Imagem 3">
          <a:extLst>
            <a:ext uri="{FF2B5EF4-FFF2-40B4-BE49-F238E27FC236}">
              <a16:creationId xmlns:a16="http://schemas.microsoft.com/office/drawing/2014/main" id="{693B46BB-045F-C9DC-7951-8EB011108DAD}"/>
            </a:ext>
          </a:extLst>
        </xdr:cNvPr>
        <xdr:cNvPicPr>
          <a:picLocks noChangeAspect="1"/>
        </xdr:cNvPicPr>
      </xdr:nvPicPr>
      <xdr:blipFill>
        <a:blip xmlns:r="http://schemas.openxmlformats.org/officeDocument/2006/relationships" r:embed="rId3"/>
        <a:stretch>
          <a:fillRect/>
        </a:stretch>
      </xdr:blipFill>
      <xdr:spPr>
        <a:xfrm>
          <a:off x="26877818" y="22444365"/>
          <a:ext cx="8164064" cy="58586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56</xdr:col>
      <xdr:colOff>135192</xdr:colOff>
      <xdr:row>2</xdr:row>
      <xdr:rowOff>81643</xdr:rowOff>
    </xdr:from>
    <xdr:to>
      <xdr:col>67</xdr:col>
      <xdr:colOff>208019</xdr:colOff>
      <xdr:row>6</xdr:row>
      <xdr:rowOff>176893</xdr:rowOff>
    </xdr:to>
    <xdr:pic>
      <xdr:nvPicPr>
        <xdr:cNvPr id="2" name="Imagem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8692" y="462643"/>
          <a:ext cx="3647504" cy="857250"/>
        </a:xfrm>
        <a:prstGeom prst="rect">
          <a:avLst/>
        </a:prstGeom>
        <a:noFill/>
      </xdr:spPr>
    </xdr:pic>
    <xdr:clientData/>
  </xdr:twoCellAnchor>
  <xdr:twoCellAnchor editAs="oneCell">
    <xdr:from>
      <xdr:col>0</xdr:col>
      <xdr:colOff>323850</xdr:colOff>
      <xdr:row>2</xdr:row>
      <xdr:rowOff>28575</xdr:rowOff>
    </xdr:from>
    <xdr:to>
      <xdr:col>2</xdr:col>
      <xdr:colOff>225608</xdr:colOff>
      <xdr:row>7</xdr:row>
      <xdr:rowOff>156075</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850" y="409575"/>
          <a:ext cx="1120958" cy="10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42</xdr:row>
      <xdr:rowOff>114300</xdr:rowOff>
    </xdr:to>
    <xdr:pic>
      <xdr:nvPicPr>
        <xdr:cNvPr id="6146" name="Picture 2">
          <a:extLst>
            <a:ext uri="{FF2B5EF4-FFF2-40B4-BE49-F238E27FC236}">
              <a16:creationId xmlns:a16="http://schemas.microsoft.com/office/drawing/2014/main" id="{00000000-0008-0000-0500-00000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7505700" cy="81153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o\c\Soercel-2000\DTE\CST\Or&#231;amento\SISTEMA%20EL&#201;TRICO%20LTQ\TOSHIBA\Planejamento\FERROSTA\PL-AQUAC\MAPA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toria\c\Res&#237;duos%20S&#243;lidos\Cons&#243;rcio%20Pref.%20Marechal%20Floriano%20e%20Domingos%20Martins\CHORUME%20e%20BIOG&#193;S\CMFDM1%20292%2001%20-%20Unid.de%20Processamento%20de%20Res&#237;duos%20-%20Reservat&#243;rio%20Met&#225;li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NTROLE\CONTROLE2\Se&#231;&#227;o%20T&#233;cnica\DIVERS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TESE031\Usuarios\DOC\Micro_ASHFORD\PLANILHAS%202001%20(TUDO)\PROJETO%20ALVORADA%202\ALVORADA%20COMPLETO\E.E%20E.F.M.%20de%20Alcantil%20-%20Alcanti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liarde\shareddocs\OBRAS\Projeto%20da%20%20ES-381-NOVA%20VEN&#201;CIA\Medi&#231;&#245;es\7&#170;\Documents%20and%20Settings\Gustavo\Desktop\DERTES%202006\Construtora%20&#193;pia%20Ltda._Contrato%20015_2006\ES%20446%20-%20PLANILHA%20OBR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Documents%20and%20Settings/infra2/Meus%20documentos/Downloads/Laudo%20072-2014%20-%205963506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itoria\C\AAGUA\ORCAMENT\2000\INTERIOR\AFONSO%20CLAUDIO\ACSP8%20010%2000%20-%20CAPTA&#199;&#195;O%20SERRA%20PELA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itoria\c\Documents%20and%20Settings\&#193;tila\Meus%20documentos\HPS\Ponte%20Nova\CMFDM1%20313%2001%20-%20Unid.de%20Proc&#186;%20de%20Res&#237;duos%20-%20Cub&#237;culo%20do%20BIOG&#193;S%20e%20Queimado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lanejamento\MILPLAN%20(C)\DOCUME~1\Ricardo\LOCALS~1\Temp\Temporary%20Directory%201%20for%20Ata%20Eletronica%20-%20Prensa%20de%20Rolos%20-%20Sem%2046-06%20-%2013-11-06.zip\EAP%20-%20Prensa%20de%20Rolos%20-%20Sem%2045-06%20-%2006-1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nnectdb\Documentos\ORCAMENTO\orcamento%202007\p%20m%20serra\CD%20CP030-07\Edital\Anexo%20I\Planilha%20de%20Pre&#231;os\RL.ORC.AGU.005.R2.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OR96088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anej\c\Keyloir%20Trabalhos\Zortea\Arquivos%20Oficiais\Completo\WINDOWS\TEMP\eap\Soercel-2000\DTE\CST\Or&#231;amento\SISTEMA%20EL&#201;TRICO%20LTQ\TOSHIBA\Planejamento\FERROSTA\PL-AQUAC\MAP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6CB95571\15MP_09.20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ngen-bigossi\d\Andressa\Andressa\canal%20bigossi\BM_CHEIM\BM\16&#170;BM\16&#186;%20MP%20Cheim_ok.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itoria\C\AAGUA\Orcament\2002\INTERIOR\CONCEI&#199;&#195;O%20DA%20BARRA\CBSD1%20066%2002%20-%20TRAVESSIA%203%20%20-%20(%20SOBRE%20O%20RIO%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ngenharia01\D-eng01\Meus%20documentos_Eng%201D\PREFEITURAS%20MUNICIPAIS%20ENG.%201\Joao%20Pessoa\JO&#195;O%20PESSOA%202005\Al&#231;a%20Beira%20Rio_2004\relat&#243;rio\Der\DER\PB008norte\Pb008n-RelFinal01\Pb008n-RelFinal01-Dimens&amp;ComparaPavi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B66E0D9\11%20Med%20Lote6%20Mar&#231;o%2008%20APIA.xl"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itoria02\projetos\cad\der-es\059_16\tecnica\relatorios\01%20-%20CONTRATO%20009.2017\10%20-%20OBRA%2009%20-%20VSC\03%20-%20REL\07%20-%20JAN.2018\07%20-%20ITEF\AN&#193;LISE%20VIADUTO%20ST%20CATARINA\01%20-%20Aterro_VS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vrdvitsa02\dados\DADOS\GEPOP\Montag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idor\pub_geral\Atrab\tecsan\MC-Calc\MC-E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lso\e\14%20Med%20Lote6%20Jun08%20Api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1064B80\13&#170;%20Med%20Lote6%20maio%2008%20API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HD%201/Traco%20Forte/Pref.%20Guarapar&#237;/Creche/planilha%20cemei%20Maria%20Gam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xecucao\lobo%201\Renato%20Lobo\Or&#231;ament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rev1%20-%20ADUTORA%20DE%20&#193;GUA%20TRATADA%20DN%20250%20F&#186;F&#186;%20-%20GRAVIDAD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ADUTORA%20DE%20&#193;GUA%20TRATADA%20DN%20250%20F&#186;F&#186;%20-%20GRAVIDAD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Users/usuario/Desktop/PLANILHA_TJFES_AUTOMSEG_06_01_10_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Dados\Documents%20and%20Settings\Gustavo\Desktop\DERTES%202006\Construtora%20&#193;pia%20Ltda._Contrato%20015_2006\ES%20446%20-%20PLANILHA%20OBR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92.168.0.180\Tecnico\Condominios\&#212;mega\Residencial%20Manac&#225;\Material%20CAIXA\Res.%20Manac&#225;%20Planilhas%20Caixa_1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idor\Atlas\Obras%202007-2008-2009\Obra%20195%20-%20Vale%20-%20Amplia&#231;&#227;o%20do%20p&#225;tio%20da%20moega%20de%20gusa\PLANEJAMENTO%20E%20CONTROLE%20195\Cronograma%20Obra%20195\Anexo%2001%20-%20EAP%20(O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itoria\c\Drenagem\Or&#231;ament\2001\Interior\Nova%20Ven&#233;cia\Estim.%20-%20Eng&#186;%20Mari&#226;ngela\NVSD1%20076%2001%20-%20SISTEMA%20DE%20DRENAGEM%20-%20NOVA%20VEN&#201;C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6dx2\c\FERROSTA\PL-AQUAC\MAPA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idor\Atlas\Samarco%20-%20Planejamento\Outokumpu\1452Fverde_rev_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rthur\c\Documents%20and%20Settings\Marlem\Configura&#231;&#245;es%20locais\Temporary%20Internet%20Files\Content.IE5\MNSRGR4Z\RL.ORC.TODOS.R0.xls" TargetMode="External"/></Relationships>
</file>

<file path=xl/externalLinks/_rels/externalLink42.xml.rels><?xml version="1.0" encoding="UTF-8" standalone="yes"?>
<Relationships xmlns="http://schemas.openxmlformats.org/package/2006/relationships"><Relationship Id="rId2" Type="http://schemas.openxmlformats.org/officeDocument/2006/relationships/externalLinkPath" Target="file:///C:\Users\USER\Desktop\COMER\SANTA%20RITA\Medi&#231;&#245;es\27&#170;%20Santa%20Rita\MED%2027%20-%20Santa%20Rita-%20N&#227;o%20320.xlsx" TargetMode="External"/><Relationship Id="rId1" Type="http://schemas.openxmlformats.org/officeDocument/2006/relationships/externalLinkPath" Target="file:///C:\Users\USER\Desktop\COMER\SANTA%20RITA\Medi&#231;&#245;es\27&#170;%20Santa%20Rita\MED%2027%20-%20Santa%20Rita-%20N&#227;o%2032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Xandy\COMER\SANTA%20RITA\Medi&#231;&#245;es\19&#170;%20Santa%20Rita\19%20&#170;%20Santa%20Rita%20-%20COM&#201;R.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PLA/Works/MATRIZ/EAP/Curva%201%20folh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sers\Ideally\Downloads\Documents%20and%20Settings\ivan\Meus%20documentos\Adolfo\Planejamento\Procedimentos\Planejamento\Revisado\Cronograma%20Financei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atlas\DOCUME~1\LIDIAN~1\CONFIG~1\Temp\XPgrpwise\David%20Louren&#231;o\Painel%20de%20Controle%20-%20Nova%20Revis&#227;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ESE031\Usuarios\DOC\Micro_ASHFORD\PLANILHAS%202001%20(TUDO)\PROJETO%20ALVORADA%202\ALVORADA%20COMPLETO\E.E%20E.F.M.%20Napole&#227;o%20A.%20N&#243;brega%20-%20S.%20Mame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EAP"/>
      <sheetName val="CURVA GERAL"/>
      <sheetName val="CURVAS - S"/>
      <sheetName val="9.1 - CURVA"/>
    </sheet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3ªCAT.F.C."/>
      <sheetName val="Replan"/>
      <sheetName val="Resumo"/>
      <sheetName val="Plan1"/>
      <sheetName val="PLANILHA"/>
      <sheetName val="EMERGÊNCIA"/>
      <sheetName val="MEDICAO"/>
      <sheetName val="CMFDM1 292 01 - Uni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DE QUANT_ E CUSTOS A"/>
      <sheetName val="ENTRADA DE DADOS (2)"/>
      <sheetName val="RESUMO GERAL (2)"/>
      <sheetName val="DISTRIBUICAO (2)"/>
      <sheetName val="FORMULAS NÃO MEXER (2)"/>
      <sheetName val="TERRAP EST 1871 A 2169 (2)"/>
      <sheetName val="ENTRADA DE DADOS"/>
      <sheetName val="RESUMO GERAL"/>
      <sheetName val="DISTRIBUICAO"/>
      <sheetName val="FORMULAS NÃO MEXER"/>
      <sheetName val="Plan1 (2)"/>
      <sheetName val="REL. EMP. LAT."/>
      <sheetName val="CORTE PISTA"/>
      <sheetName val=" EMPR. LE"/>
      <sheetName val=" EMPR. LD"/>
      <sheetName val=" ATERRO 100%"/>
      <sheetName val=" ATERRO 95%"/>
      <sheetName val="Plan4"/>
      <sheetName val="JUN. 01"/>
      <sheetName val="resumo"/>
      <sheetName val="Plan1"/>
      <sheetName val="Plan3"/>
      <sheetName val="Plan2"/>
      <sheetName val=" ATER. A 100%(SUB.)"/>
      <sheetName val="PLANILHA DE QUANT. E CUSTOS A"/>
      <sheetName val="SERVIÇOS"/>
      <sheetName val="Dados não apagar"/>
      <sheetName val="DISTRIBUIÇÃO VOLUMES"/>
      <sheetName val="PLANILHA"/>
      <sheetName val="LIMPEZA LD"/>
      <sheetName val="ATERRO 95% LD"/>
      <sheetName val="REBAIXO LD"/>
      <sheetName val="CORTE LD"/>
      <sheetName val="CORTE LE"/>
      <sheetName val="RACHÃO LD"/>
      <sheetName val="RACHÃO LE"/>
      <sheetName val="COLCHÃO LD"/>
      <sheetName val="ATERRO 100% LD "/>
      <sheetName val="ESCAVAÇAO VALA LD"/>
      <sheetName val="REMOÇÃO CERCA LD"/>
      <sheetName val="ATERRO 100% LE"/>
      <sheetName val="REMOÇÃO DE CERCA"/>
      <sheetName val="CUBAÇÃO CORTE EMPRESTIMO Km 397"/>
      <sheetName val="CUBAÇÃO CORTE EMPRESTIMO Km 401"/>
      <sheetName val="ATERRO 95% LE"/>
      <sheetName val="REBAIXO LE"/>
      <sheetName val="COLCHÃO LE"/>
      <sheetName val="EXECUÇÃO DE CERCA"/>
      <sheetName val="DESTOC. ARVORES"/>
      <sheetName val="DIVERSOS"/>
      <sheetName val="DADOS"/>
      <sheetName val="eq"/>
      <sheetName val="mo"/>
      <sheetName val="CUSTO HORÁRIO"/>
      <sheetName val="Mão de obra"/>
      <sheetName val="Material"/>
      <sheetName val="MEMORIAL"/>
      <sheetName val="Página 16"/>
      <sheetName val="COMPOS1"/>
      <sheetName val="Anexos"/>
      <sheetName val="EMERGÊNCIA"/>
      <sheetName val="MEDICAO"/>
      <sheetName val="PLANILHA_DE_QUANT__E_CUSTOS_A"/>
      <sheetName val="ENTRADA_DE_DADOS_(2)"/>
      <sheetName val="RESUMO_GERAL_(2)"/>
      <sheetName val="DISTRIBUICAO_(2)"/>
      <sheetName val="FORMULAS_NÃO_MEXER_(2)"/>
      <sheetName val="TERRAP_EST_1871_A_2169_(2)"/>
      <sheetName val="ENTRADA_DE_DADOS"/>
      <sheetName val="RESUMO_GERAL"/>
      <sheetName val="FORMULAS_NÃO_MEXER"/>
      <sheetName val="Plan1_(2)"/>
      <sheetName val="REL__EMP__LAT_"/>
      <sheetName val="CORTE_PISTA"/>
      <sheetName val="_EMPR__LE"/>
      <sheetName val="_EMPR__LD"/>
      <sheetName val="_ATERRO_100%"/>
      <sheetName val="_ATERRO_95%"/>
      <sheetName val="JUN__01"/>
      <sheetName val="_ATER__A_100%(SUB_)"/>
      <sheetName val="PLANILHA_DE_QUANT__E_CUSTOS_A1"/>
      <sheetName val="Dados_não_apagar"/>
      <sheetName val="DISTRIBUIÇÃO_VOLUMES"/>
      <sheetName val="LIMPEZA_LD"/>
      <sheetName val="ATERRO_95%_LD"/>
      <sheetName val="REBAIXO_LD"/>
      <sheetName val="CORTE_LD"/>
      <sheetName val="CORTE_LE"/>
      <sheetName val="RACHÃO_LD"/>
      <sheetName val="RACHÃO_LE"/>
      <sheetName val="COLCHÃO_LD"/>
      <sheetName val="ATERRO_100%_LD_"/>
      <sheetName val="ESCAVAÇAO_VALA_LD"/>
      <sheetName val="REMOÇÃO_CERCA_LD"/>
      <sheetName val="ATERRO_100%_LE"/>
      <sheetName val="REMOÇÃO_DE_CERCA"/>
      <sheetName val="CUBAÇÃO_CORTE_EMPRESTIMO_Km_397"/>
      <sheetName val="CUBAÇÃO_CORTE_EMPRESTIMO_Km_401"/>
      <sheetName val="ATERRO_95%_LE"/>
      <sheetName val="REBAIXO_LE"/>
      <sheetName val="COLCHÃO_LE"/>
      <sheetName val="EXECUÇÃO_DE_CERCA"/>
      <sheetName val="DESTOC__ARVORES"/>
      <sheetName val="CUSTO_HORÁRIO"/>
      <sheetName val="Mão_de_obra"/>
      <sheetName val="RESUMO_DVOP"/>
      <sheetName val="A.2- RESUMO"/>
      <sheetName val="BASE 5E"/>
      <sheetName val="Aditivo"/>
      <sheetName val="Auxiliar Dados Não Apagar"/>
      <sheetName val="RESUMO MEDIÇÃO"/>
      <sheetName val="RESUMO EQUILÍBRIO"/>
      <sheetName val="Placa da obra"/>
      <sheetName val="Conteiner"/>
      <sheetName val="Mob. e Desmob. - Conteiner"/>
      <sheetName val="Limpeza"/>
      <sheetName val="Pintura de ligação"/>
      <sheetName val="CBUQ "/>
      <sheetName val="CBUQ - Pesagem"/>
      <sheetName val="TR-CBUQ"/>
      <sheetName val="RR-1C"/>
      <sheetName val="CAP 50-70"/>
      <sheetName val="TR-Mat. Betumino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or Out. 2001 - BDI=20% Ajust"/>
      <sheetName val="Biblioteca Out. 2001 - BDI=20%"/>
      <sheetName val=" Salas OUT 2001 COM BDI 20%"/>
      <sheetName val="Lab cienc nat BRASILIA"/>
      <sheetName val="CRONOGRAMA - 120 Dias"/>
      <sheetName val="Refor Out_ 2001 _ BDI_20_ Ajust"/>
      <sheetName val="Refor_Out__2001_-_BDI=20%_Ajust"/>
      <sheetName val="Biblioteca_Out__2001_-_BDI=20%"/>
      <sheetName val="_Salas_OUT_2001_COM_BDI_20%"/>
      <sheetName val="Lab_cienc_nat_BRASILIA"/>
      <sheetName val="CRONOGRAMA_-_120_Dias"/>
      <sheetName val="Refor_Out__2001___BDI_20__Ajus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a"/>
      <sheetName val="Plan1"/>
      <sheetName val="Resumo"/>
      <sheetName val="BAIXO GUANDU ITAIMBE"/>
      <sheetName val="cff1"/>
      <sheetName val="ITAIMBE ITAGUACU"/>
      <sheetName val="cff2"/>
      <sheetName val="BAIXO GUANDU AIMORES"/>
      <sheetName val="Tudo"/>
      <sheetName val="cff3"/>
      <sheetName val="abc ápia"/>
      <sheetName val="abc órgão"/>
      <sheetName val="consolidada"/>
      <sheetName val="MEMO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udo"/>
      <sheetName val="Plan1"/>
      <sheetName val="LISTAS"/>
      <sheetName val="Plan2"/>
      <sheetName val="planilha"/>
    </sheetNames>
    <sheetDataSet>
      <sheetData sheetId="0"/>
      <sheetData sheetId="1">
        <row r="2">
          <cell r="A2" t="str">
            <v>OBJETIVO</v>
          </cell>
        </row>
        <row r="3">
          <cell r="A3" t="str">
            <v>Valor de Mercado</v>
          </cell>
        </row>
        <row r="4">
          <cell r="A4" t="str">
            <v>Liquidação Forçada</v>
          </cell>
        </row>
        <row r="5">
          <cell r="A5" t="str">
            <v>Valor de Desmonte</v>
          </cell>
        </row>
        <row r="6">
          <cell r="A6" t="str">
            <v>Valor em Risco</v>
          </cell>
        </row>
        <row r="7">
          <cell r="A7" t="str">
            <v>Outros</v>
          </cell>
        </row>
        <row r="8">
          <cell r="A8" t="str">
            <v>FINALIDADE</v>
          </cell>
        </row>
        <row r="9">
          <cell r="A9" t="str">
            <v>Alienação</v>
          </cell>
        </row>
        <row r="10">
          <cell r="A10" t="str">
            <v>Aquisição</v>
          </cell>
        </row>
        <row r="11">
          <cell r="A11" t="str">
            <v>Arrematação/Adjudicação</v>
          </cell>
        </row>
        <row r="12">
          <cell r="A12" t="str">
            <v>Doação</v>
          </cell>
        </row>
        <row r="13">
          <cell r="A13" t="str">
            <v>Dação em Pagamento</v>
          </cell>
        </row>
        <row r="14">
          <cell r="A14" t="str">
            <v>Garantia de Operação</v>
          </cell>
        </row>
        <row r="15">
          <cell r="A15" t="str">
            <v>Locação</v>
          </cell>
        </row>
        <row r="16">
          <cell r="A16" t="str">
            <v>Levantamento Patrimonial</v>
          </cell>
        </row>
        <row r="17">
          <cell r="A17" t="str">
            <v>Permuta</v>
          </cell>
        </row>
        <row r="18">
          <cell r="A18" t="str">
            <v>Taxa de Ocupação Funcional</v>
          </cell>
        </row>
        <row r="21">
          <cell r="A21" t="str">
            <v>PADRAO_CONST_PREDOM</v>
          </cell>
        </row>
        <row r="22">
          <cell r="A22" t="str">
            <v>Alto</v>
          </cell>
        </row>
        <row r="23">
          <cell r="A23" t="str">
            <v>Normal</v>
          </cell>
        </row>
        <row r="24">
          <cell r="A24" t="str">
            <v>Baixo</v>
          </cell>
        </row>
        <row r="25">
          <cell r="A25" t="str">
            <v>Proletário</v>
          </cell>
        </row>
        <row r="26">
          <cell r="A26" t="str">
            <v>CONDICOES_ACESSO</v>
          </cell>
        </row>
        <row r="27">
          <cell r="A27" t="str">
            <v>Bom/Satisfatório</v>
          </cell>
        </row>
        <row r="28">
          <cell r="A28" t="str">
            <v>Regular</v>
          </cell>
        </row>
        <row r="29">
          <cell r="A29" t="str">
            <v>Ruim/Insatisfatório</v>
          </cell>
        </row>
        <row r="30">
          <cell r="A30" t="str">
            <v>FACILID_ESTACIONAMENTO</v>
          </cell>
        </row>
        <row r="31">
          <cell r="A31" t="str">
            <v>Bom/Satisfatório</v>
          </cell>
        </row>
        <row r="32">
          <cell r="A32" t="str">
            <v>Regular</v>
          </cell>
        </row>
        <row r="33">
          <cell r="A33" t="str">
            <v>Ruim/Insatisfatório</v>
          </cell>
        </row>
        <row r="34">
          <cell r="A34" t="str">
            <v>DENSIDADE_HABITACIONAL</v>
          </cell>
        </row>
        <row r="35">
          <cell r="A35" t="str">
            <v>Alta</v>
          </cell>
        </row>
        <row r="36">
          <cell r="A36" t="str">
            <v>Média</v>
          </cell>
        </row>
        <row r="37">
          <cell r="A37" t="str">
            <v>Baixa</v>
          </cell>
        </row>
        <row r="38">
          <cell r="A38" t="str">
            <v>RESTRICOES</v>
          </cell>
        </row>
        <row r="39">
          <cell r="A39" t="str">
            <v>Físicas</v>
          </cell>
        </row>
        <row r="40">
          <cell r="A40" t="str">
            <v>Ambientais</v>
          </cell>
        </row>
        <row r="41">
          <cell r="A41" t="str">
            <v>Legais</v>
          </cell>
        </row>
        <row r="42">
          <cell r="A42" t="str">
            <v>Socioeconômicas</v>
          </cell>
        </row>
        <row r="43">
          <cell r="A43" t="str">
            <v>Nenhuma</v>
          </cell>
        </row>
        <row r="46">
          <cell r="A46" t="str">
            <v>FORMATO</v>
          </cell>
        </row>
        <row r="47">
          <cell r="A47" t="str">
            <v>Retangular</v>
          </cell>
        </row>
        <row r="48">
          <cell r="A48" t="str">
            <v>Trapezoidal</v>
          </cell>
        </row>
        <row r="49">
          <cell r="A49" t="str">
            <v>Triangular</v>
          </cell>
        </row>
        <row r="50">
          <cell r="A50" t="str">
            <v>Irregular</v>
          </cell>
        </row>
        <row r="51">
          <cell r="A51" t="str">
            <v>Outros</v>
          </cell>
        </row>
        <row r="52">
          <cell r="A52" t="str">
            <v>COTA_GREIDE</v>
          </cell>
        </row>
        <row r="53">
          <cell r="A53" t="str">
            <v>No Nível</v>
          </cell>
        </row>
        <row r="54">
          <cell r="A54" t="str">
            <v>Acima</v>
          </cell>
        </row>
        <row r="55">
          <cell r="A55" t="str">
            <v>Abaixo</v>
          </cell>
        </row>
        <row r="56">
          <cell r="A56" t="str">
            <v>INCLINACAO</v>
          </cell>
        </row>
        <row r="57">
          <cell r="A57" t="str">
            <v>Plano/Semi-plano</v>
          </cell>
        </row>
        <row r="58">
          <cell r="A58" t="str">
            <v>Aclive/Declive &gt; 10%</v>
          </cell>
        </row>
        <row r="59">
          <cell r="A59" t="str">
            <v>Acidentado</v>
          </cell>
        </row>
        <row r="60">
          <cell r="A60" t="str">
            <v>SITUACAO</v>
          </cell>
        </row>
        <row r="61">
          <cell r="A61" t="str">
            <v>Meio de Quadra</v>
          </cell>
        </row>
        <row r="62">
          <cell r="A62" t="str">
            <v>Esquina</v>
          </cell>
        </row>
        <row r="63">
          <cell r="A63" t="str">
            <v>Quadra Inteira</v>
          </cell>
        </row>
        <row r="64">
          <cell r="A64" t="str">
            <v>Outros</v>
          </cell>
        </row>
        <row r="65">
          <cell r="A65" t="str">
            <v>SUPERFICIE</v>
          </cell>
        </row>
        <row r="66">
          <cell r="A66" t="str">
            <v>Seco</v>
          </cell>
        </row>
        <row r="67">
          <cell r="A67" t="str">
            <v>Brejoso</v>
          </cell>
        </row>
        <row r="68">
          <cell r="A68" t="str">
            <v>Alagável</v>
          </cell>
        </row>
        <row r="69">
          <cell r="A69" t="str">
            <v>Outros</v>
          </cell>
        </row>
        <row r="73">
          <cell r="A73" t="str">
            <v>TIPO</v>
          </cell>
        </row>
        <row r="74">
          <cell r="A74" t="str">
            <v>Casa</v>
          </cell>
        </row>
        <row r="75">
          <cell r="A75" t="str">
            <v>Loja</v>
          </cell>
        </row>
        <row r="76">
          <cell r="A76" t="str">
            <v>Terreno</v>
          </cell>
        </row>
        <row r="77">
          <cell r="A77" t="str">
            <v>Prédio</v>
          </cell>
        </row>
        <row r="78">
          <cell r="A78" t="str">
            <v>Galpão</v>
          </cell>
        </row>
        <row r="79">
          <cell r="A79" t="str">
            <v>Outros</v>
          </cell>
        </row>
        <row r="80">
          <cell r="A80" t="str">
            <v>USO</v>
          </cell>
        </row>
        <row r="81">
          <cell r="A81" t="str">
            <v>Residencial</v>
          </cell>
        </row>
        <row r="82">
          <cell r="A82" t="str">
            <v>Comercial</v>
          </cell>
        </row>
        <row r="83">
          <cell r="A83" t="str">
            <v>Industrial</v>
          </cell>
        </row>
        <row r="84">
          <cell r="A84" t="str">
            <v>Institucional</v>
          </cell>
        </row>
        <row r="85">
          <cell r="A85" t="str">
            <v>Misto</v>
          </cell>
        </row>
        <row r="86">
          <cell r="A86" t="str">
            <v>Outros</v>
          </cell>
        </row>
        <row r="87">
          <cell r="A87" t="str">
            <v>POSICAO</v>
          </cell>
        </row>
        <row r="88">
          <cell r="A88" t="str">
            <v>Frente/Canto</v>
          </cell>
        </row>
        <row r="89">
          <cell r="A89" t="str">
            <v>Frente/Meio</v>
          </cell>
        </row>
        <row r="90">
          <cell r="A90" t="str">
            <v>Fundos/Canto</v>
          </cell>
        </row>
        <row r="91">
          <cell r="A91" t="str">
            <v xml:space="preserve">Fundos/Meio </v>
          </cell>
        </row>
        <row r="92">
          <cell r="A92" t="str">
            <v>Lateral</v>
          </cell>
        </row>
        <row r="93">
          <cell r="A93" t="str">
            <v>Outros</v>
          </cell>
        </row>
        <row r="94">
          <cell r="A94" t="str">
            <v>SISTEMA_ESTRUTURAL</v>
          </cell>
        </row>
        <row r="95">
          <cell r="A95" t="str">
            <v>Alvenaria Estrutural</v>
          </cell>
        </row>
        <row r="96">
          <cell r="A96" t="str">
            <v>Estrutura Metálica</v>
          </cell>
        </row>
        <row r="97">
          <cell r="A97" t="str">
            <v>Concreto Armado</v>
          </cell>
        </row>
        <row r="98">
          <cell r="A98" t="str">
            <v>Madeira</v>
          </cell>
        </row>
        <row r="99">
          <cell r="A99" t="str">
            <v>Misto</v>
          </cell>
        </row>
        <row r="100">
          <cell r="A100" t="str">
            <v>Outros</v>
          </cell>
        </row>
        <row r="101">
          <cell r="A101" t="str">
            <v>FECHAMENTO_PAREDES</v>
          </cell>
        </row>
        <row r="102">
          <cell r="A102" t="str">
            <v>Alvenaria</v>
          </cell>
        </row>
        <row r="103">
          <cell r="A103" t="str">
            <v>Madeira</v>
          </cell>
        </row>
        <row r="104">
          <cell r="A104" t="str">
            <v>Alvenaria/Madeira</v>
          </cell>
        </row>
        <row r="105">
          <cell r="A105" t="str">
            <v>Outros</v>
          </cell>
        </row>
        <row r="106">
          <cell r="A106" t="str">
            <v>TETOS</v>
          </cell>
        </row>
        <row r="107">
          <cell r="A107" t="str">
            <v>Forro</v>
          </cell>
        </row>
        <row r="108">
          <cell r="A108" t="str">
            <v>Laje</v>
          </cell>
        </row>
        <row r="109">
          <cell r="A109" t="str">
            <v>Telhado Aparente</v>
          </cell>
        </row>
        <row r="110">
          <cell r="A110" t="str">
            <v>Outros</v>
          </cell>
        </row>
        <row r="111">
          <cell r="A111" t="str">
            <v>PISOS</v>
          </cell>
        </row>
        <row r="112">
          <cell r="A112" t="str">
            <v>Cerâmica</v>
          </cell>
        </row>
        <row r="113">
          <cell r="A113" t="str">
            <v>Granito</v>
          </cell>
        </row>
        <row r="114">
          <cell r="A114" t="str">
            <v>Porcelanato</v>
          </cell>
        </row>
        <row r="115">
          <cell r="A115" t="str">
            <v>Madeira</v>
          </cell>
        </row>
        <row r="116">
          <cell r="A116" t="str">
            <v>Acrílico</v>
          </cell>
        </row>
        <row r="117">
          <cell r="A117" t="str">
            <v>Cimentado</v>
          </cell>
        </row>
        <row r="118">
          <cell r="A118" t="str">
            <v>Pedra</v>
          </cell>
        </row>
        <row r="119">
          <cell r="A119" t="str">
            <v>Diversos</v>
          </cell>
        </row>
        <row r="120">
          <cell r="A120" t="str">
            <v>Outros</v>
          </cell>
        </row>
        <row r="121">
          <cell r="A121" t="str">
            <v>ESQUADRIAS</v>
          </cell>
        </row>
        <row r="122">
          <cell r="A122" t="str">
            <v>Madeira</v>
          </cell>
        </row>
        <row r="123">
          <cell r="A123" t="str">
            <v>Alumínio</v>
          </cell>
        </row>
        <row r="124">
          <cell r="A124" t="str">
            <v>PVC</v>
          </cell>
        </row>
        <row r="125">
          <cell r="A125" t="str">
            <v>Outros</v>
          </cell>
        </row>
        <row r="126">
          <cell r="A126" t="str">
            <v>PADRAO_ACABAMENTO</v>
          </cell>
        </row>
        <row r="127">
          <cell r="A127" t="str">
            <v>Alto</v>
          </cell>
        </row>
        <row r="128">
          <cell r="A128" t="str">
            <v>Entre normal e alto</v>
          </cell>
        </row>
        <row r="129">
          <cell r="A129" t="str">
            <v>Normal</v>
          </cell>
        </row>
        <row r="130">
          <cell r="A130" t="str">
            <v>Entre normal e baixo</v>
          </cell>
        </row>
        <row r="131">
          <cell r="A131" t="str">
            <v>Baixo</v>
          </cell>
        </row>
        <row r="132">
          <cell r="A132" t="str">
            <v>Entre baixo e mínimo</v>
          </cell>
        </row>
        <row r="133">
          <cell r="A133" t="str">
            <v>Mínimo</v>
          </cell>
        </row>
        <row r="134">
          <cell r="A134" t="str">
            <v>ESTADO_CONSERVACAO</v>
          </cell>
        </row>
        <row r="135">
          <cell r="A135" t="str">
            <v>Novo</v>
          </cell>
        </row>
        <row r="136">
          <cell r="A136" t="str">
            <v>Bom</v>
          </cell>
        </row>
        <row r="137">
          <cell r="A137" t="str">
            <v>Regular</v>
          </cell>
        </row>
        <row r="138">
          <cell r="A138" t="str">
            <v>Necessita Reparos Simples</v>
          </cell>
        </row>
        <row r="139">
          <cell r="A139" t="str">
            <v>Necessita Reparos Importantes</v>
          </cell>
        </row>
        <row r="140">
          <cell r="A140" t="str">
            <v>Sem Valor</v>
          </cell>
        </row>
        <row r="141">
          <cell r="A141" t="str">
            <v>VENT_ILUM.NATURAL</v>
          </cell>
        </row>
        <row r="142">
          <cell r="A142" t="str">
            <v>Bom/Satistatório</v>
          </cell>
        </row>
        <row r="143">
          <cell r="A143" t="str">
            <v>Regular/Normal</v>
          </cell>
        </row>
        <row r="144">
          <cell r="A144" t="str">
            <v>Ruim/Insatisfatório</v>
          </cell>
        </row>
        <row r="145">
          <cell r="A145" t="str">
            <v>ASPECTO_ARQ</v>
          </cell>
        </row>
        <row r="146">
          <cell r="A146" t="str">
            <v>Bom/Satistatório</v>
          </cell>
        </row>
        <row r="147">
          <cell r="A147" t="str">
            <v>Regular/Normal</v>
          </cell>
        </row>
        <row r="148">
          <cell r="A148" t="str">
            <v>Ruim/Insatisfatório</v>
          </cell>
        </row>
        <row r="149">
          <cell r="A149" t="str">
            <v>REFORMA</v>
          </cell>
        </row>
        <row r="150">
          <cell r="A150" t="str">
            <v>Recente</v>
          </cell>
        </row>
        <row r="151">
          <cell r="A151" t="str">
            <v>Antiga/Parcial</v>
          </cell>
        </row>
        <row r="152">
          <cell r="A152" t="str">
            <v>Não Há</v>
          </cell>
        </row>
        <row r="153">
          <cell r="A153" t="str">
            <v>OCUPACAO</v>
          </cell>
        </row>
        <row r="154">
          <cell r="A154" t="str">
            <v>Pelo Proprietário</v>
          </cell>
        </row>
        <row r="155">
          <cell r="A155" t="str">
            <v>Alugado</v>
          </cell>
        </row>
        <row r="156">
          <cell r="A156" t="str">
            <v>Cedido/Comodato</v>
          </cell>
        </row>
        <row r="157">
          <cell r="A157" t="str">
            <v>Desocupado</v>
          </cell>
        </row>
        <row r="158">
          <cell r="A158" t="str">
            <v>Invasão</v>
          </cell>
        </row>
        <row r="159">
          <cell r="A159" t="str">
            <v>HABITABILIDADE</v>
          </cell>
        </row>
        <row r="160">
          <cell r="A160" t="str">
            <v>Sim</v>
          </cell>
        </row>
        <row r="161">
          <cell r="A161" t="str">
            <v>Não</v>
          </cell>
        </row>
        <row r="162">
          <cell r="A162" t="str">
            <v>Parcial</v>
          </cell>
        </row>
        <row r="163">
          <cell r="A163" t="str">
            <v>ESTABILIDADE</v>
          </cell>
        </row>
        <row r="164">
          <cell r="A164" t="str">
            <v>Sim</v>
          </cell>
        </row>
        <row r="165">
          <cell r="A165" t="str">
            <v>Não</v>
          </cell>
        </row>
        <row r="166">
          <cell r="A166" t="str">
            <v>VICIOS</v>
          </cell>
        </row>
        <row r="167">
          <cell r="A167" t="str">
            <v>Sim</v>
          </cell>
        </row>
        <row r="168">
          <cell r="A168" t="str">
            <v>Não</v>
          </cell>
        </row>
        <row r="171">
          <cell r="A171" t="str">
            <v>DEMANDA</v>
          </cell>
        </row>
        <row r="172">
          <cell r="A172" t="str">
            <v>Alta</v>
          </cell>
        </row>
        <row r="173">
          <cell r="A173" t="str">
            <v>Média</v>
          </cell>
        </row>
        <row r="174">
          <cell r="A174" t="str">
            <v>Baixa</v>
          </cell>
        </row>
        <row r="175">
          <cell r="A175" t="str">
            <v>OFERTAS</v>
          </cell>
        </row>
        <row r="176">
          <cell r="A176" t="str">
            <v>Alto</v>
          </cell>
        </row>
        <row r="177">
          <cell r="A177" t="str">
            <v>Médio</v>
          </cell>
        </row>
        <row r="178">
          <cell r="A178" t="str">
            <v>Baixo</v>
          </cell>
        </row>
        <row r="179">
          <cell r="A179" t="str">
            <v>Inexistente</v>
          </cell>
        </row>
        <row r="180">
          <cell r="A180" t="str">
            <v>DESEMPENHO</v>
          </cell>
        </row>
        <row r="181">
          <cell r="A181" t="str">
            <v>Aquecido</v>
          </cell>
        </row>
        <row r="182">
          <cell r="A182" t="str">
            <v>Normal</v>
          </cell>
        </row>
        <row r="183">
          <cell r="A183" t="str">
            <v>Recessivo</v>
          </cell>
        </row>
        <row r="184">
          <cell r="A184" t="str">
            <v>LIQUIDEZ</v>
          </cell>
        </row>
        <row r="185">
          <cell r="A185" t="str">
            <v>Alta</v>
          </cell>
        </row>
        <row r="186">
          <cell r="A186" t="str">
            <v>Normal</v>
          </cell>
        </row>
        <row r="187">
          <cell r="A187" t="str">
            <v>Baixa</v>
          </cell>
        </row>
        <row r="188">
          <cell r="A188" t="str">
            <v>VELOCIDADE</v>
          </cell>
        </row>
        <row r="189">
          <cell r="A189" t="str">
            <v>Até 06 meses</v>
          </cell>
        </row>
        <row r="190">
          <cell r="A190" t="str">
            <v>De 06 a 12 meses</v>
          </cell>
        </row>
        <row r="191">
          <cell r="A191" t="str">
            <v>De 12 a 24 meses</v>
          </cell>
        </row>
        <row r="192">
          <cell r="A192" t="str">
            <v>Superior a 24 meses</v>
          </cell>
        </row>
        <row r="195">
          <cell r="A195" t="str">
            <v>METODOLOGIA</v>
          </cell>
        </row>
        <row r="196">
          <cell r="A196" t="str">
            <v>Método Comparativo Direto de Dados de Mercado - Inferência Estatística</v>
          </cell>
        </row>
        <row r="197">
          <cell r="A197" t="str">
            <v>Método Comparativo Direto de Dados de Mercado - Tratamento por Fatores</v>
          </cell>
        </row>
        <row r="198">
          <cell r="A198" t="str">
            <v>Método Evolutivo</v>
          </cell>
        </row>
        <row r="199">
          <cell r="A199" t="str">
            <v>Método Involutivo</v>
          </cell>
        </row>
        <row r="200">
          <cell r="A200" t="str">
            <v>Método da Capitalização da Renda</v>
          </cell>
        </row>
        <row r="201">
          <cell r="A201" t="str">
            <v>Método Comparativo Direto de Custo</v>
          </cell>
        </row>
        <row r="202">
          <cell r="A202" t="str">
            <v>Método da Quantificação do Custo</v>
          </cell>
        </row>
        <row r="203">
          <cell r="A203" t="str">
            <v>Sem Metodologia Definida por Norma</v>
          </cell>
        </row>
        <row r="206">
          <cell r="A206" t="str">
            <v>FUNDAMENTACAO_PRECISAO</v>
          </cell>
        </row>
        <row r="207">
          <cell r="A207" t="str">
            <v>Grau III</v>
          </cell>
        </row>
        <row r="208">
          <cell r="A208" t="str">
            <v>Grau II</v>
          </cell>
        </row>
        <row r="209">
          <cell r="A209" t="str">
            <v>Grau I</v>
          </cell>
        </row>
        <row r="210">
          <cell r="A210" t="str">
            <v>Sem Classificação</v>
          </cell>
        </row>
        <row r="214">
          <cell r="A214" t="str">
            <v>VALOR_UNIT_ADOTADO</v>
          </cell>
        </row>
        <row r="215">
          <cell r="A215" t="str">
            <v>Mínimo do Campo de Arbítrio</v>
          </cell>
        </row>
        <row r="216">
          <cell r="A216" t="str">
            <v>Limite Inferior do Intervalo de Confiança</v>
          </cell>
        </row>
        <row r="217">
          <cell r="A217" t="str">
            <v>Estimativa de Tendência Central</v>
          </cell>
        </row>
        <row r="218">
          <cell r="A218" t="str">
            <v>Limite Supferior do Intervalo de Confiança</v>
          </cell>
        </row>
        <row r="219">
          <cell r="A219" t="str">
            <v>Maximo do Campo de Arbítrio</v>
          </cell>
        </row>
      </sheetData>
      <sheetData sheetId="2">
        <row r="1">
          <cell r="A1" t="str">
            <v>PROFISSIONAIS</v>
          </cell>
        </row>
        <row r="2">
          <cell r="A2" t="str">
            <v>Anderson Fonseca Figueiredo</v>
          </cell>
        </row>
        <row r="3">
          <cell r="A3" t="str">
            <v>Claudia Godoy da Rocha Micchi</v>
          </cell>
        </row>
        <row r="4">
          <cell r="A4" t="str">
            <v>Flávia Pulcheri Ribeiro</v>
          </cell>
        </row>
        <row r="5">
          <cell r="A5" t="str">
            <v>Henrique Gonçalves Pereira</v>
          </cell>
        </row>
        <row r="6">
          <cell r="A6" t="str">
            <v>Ismênia Schaeffer Freitas</v>
          </cell>
        </row>
        <row r="7">
          <cell r="A7" t="str">
            <v>João Paulo Mello Teixeira</v>
          </cell>
        </row>
        <row r="8">
          <cell r="A8" t="str">
            <v>Louise Bussolotti</v>
          </cell>
        </row>
        <row r="9">
          <cell r="A9" t="str">
            <v>Luiz Fernando Bonfim</v>
          </cell>
        </row>
        <row r="10">
          <cell r="A10" t="str">
            <v>Rodolpho Torezani Netto</v>
          </cell>
        </row>
        <row r="11">
          <cell r="A11" t="str">
            <v>Terezinha de Jesus Servino Ribeiro Vanzo</v>
          </cell>
        </row>
        <row r="12">
          <cell r="A12" t="str">
            <v>Thomas Felipe Dieter</v>
          </cell>
        </row>
        <row r="13">
          <cell r="A13" t="str">
            <v>Leandro Azevedo Terrao</v>
          </cell>
        </row>
      </sheetData>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Planilha de Custo"/>
      <sheetName val="TOTAL"/>
      <sheetName val="(2,5 X1,5) PRIORIDADE 1 "/>
      <sheetName val="(2,5x1,5) PRIORIDADE 2 "/>
      <sheetName val="(2,5x1,5) PRIORIDADE 3 "/>
      <sheetName val="(1,5x1,5)"/>
      <sheetName val="Plan1"/>
      <sheetName val="BAIXO GUANDU ITAIMBE"/>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sheetName val="ESPELHO  "/>
      <sheetName val="Plan1"/>
      <sheetName val="BASE 5E"/>
      <sheetName val="MEDICAO"/>
      <sheetName val="Planilha"/>
      <sheetName val="CAPA -1"/>
      <sheetName val="Replan"/>
      <sheetName val="Resumo"/>
      <sheetName val="CMFDM1 313 01 - Uni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
      <sheetName val="Curva GERAL"/>
      <sheetName val="CURVA EPC"/>
      <sheetName val="CURVA METSO"/>
      <sheetName val="CURVA PAULINO"/>
      <sheetName val="CURVA MILPLAN"/>
      <sheetName val="CURVA SERV GERAIS"/>
      <sheetName val="CURVA ENGENHARIA"/>
      <sheetName val="CURVA FORNECIMENTO"/>
      <sheetName val="CURVA CIVIL"/>
      <sheetName val="CURVA MONTAGEM"/>
      <sheetName val="CRG"/>
      <sheetName val="DOC"/>
      <sheetName val="SEM"/>
      <sheetName val="MES"/>
      <sheetName val="DIS"/>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EDT</v>
          </cell>
          <cell r="C1" t="str">
            <v>ÁREA</v>
          </cell>
          <cell r="D1" t="str">
            <v>NOME TAREFA</v>
          </cell>
          <cell r="E1" t="str">
            <v>DURACAO</v>
          </cell>
          <cell r="F1" t="str">
            <v>INICIO BASE</v>
          </cell>
          <cell r="G1" t="str">
            <v>INICIO</v>
          </cell>
          <cell r="H1" t="str">
            <v>INICIO REAL</v>
          </cell>
          <cell r="I1" t="str">
            <v>TERM BASE</v>
          </cell>
          <cell r="J1" t="str">
            <v>TERM</v>
          </cell>
          <cell r="K1" t="str">
            <v>TERM REAL</v>
          </cell>
          <cell r="L1" t="str">
            <v>A1EQ</v>
          </cell>
          <cell r="M1" t="str">
            <v>A1EQ AVF</v>
          </cell>
          <cell r="N1" t="str">
            <v>AVF ANT</v>
          </cell>
          <cell r="O1" t="str">
            <v>ANF ATU</v>
          </cell>
          <cell r="P1" t="str">
            <v>EQ</v>
          </cell>
          <cell r="Q1" t="str">
            <v>PREDEC</v>
          </cell>
          <cell r="R1" t="str">
            <v>SUCESS</v>
          </cell>
          <cell r="S1" t="str">
            <v>RECURSO</v>
          </cell>
          <cell r="T1" t="str">
            <v>DATA PREV</v>
          </cell>
        </row>
        <row r="2">
          <cell r="D2" t="str">
            <v>MMX - BENEFICIAMENTO DE ITABIRITOS - AMAPÁ</v>
          </cell>
          <cell r="E2" t="str">
            <v>232 dias</v>
          </cell>
          <cell r="F2">
            <v>38719.333333333336</v>
          </cell>
          <cell r="G2">
            <v>38719.333333333336</v>
          </cell>
          <cell r="H2">
            <v>38719.333333333336</v>
          </cell>
          <cell r="I2">
            <v>38989.729166666664</v>
          </cell>
          <cell r="J2">
            <v>39066.729166666664</v>
          </cell>
          <cell r="K2" t="str">
            <v>NA</v>
          </cell>
          <cell r="L2">
            <v>105.01</v>
          </cell>
          <cell r="M2">
            <v>2402.5</v>
          </cell>
          <cell r="N2">
            <v>473.38</v>
          </cell>
          <cell r="O2">
            <v>19.7</v>
          </cell>
          <cell r="P2">
            <v>19.7</v>
          </cell>
          <cell r="T2">
            <v>39066</v>
          </cell>
        </row>
        <row r="3">
          <cell r="D3" t="str">
            <v xml:space="preserve"> MILESTONES</v>
          </cell>
          <cell r="E3" t="str">
            <v>130 dias</v>
          </cell>
          <cell r="F3">
            <v>38719.375</v>
          </cell>
          <cell r="G3">
            <v>38719.333333333336</v>
          </cell>
          <cell r="H3">
            <v>38719.333333333336</v>
          </cell>
          <cell r="I3">
            <v>38719.375</v>
          </cell>
          <cell r="J3">
            <v>38912.333333333336</v>
          </cell>
          <cell r="K3">
            <v>38912.333333333336</v>
          </cell>
          <cell r="L3">
            <v>0</v>
          </cell>
          <cell r="M3">
            <v>0</v>
          </cell>
          <cell r="N3">
            <v>0</v>
          </cell>
          <cell r="O3">
            <v>0</v>
          </cell>
          <cell r="P3" t="str">
            <v>#ERRO</v>
          </cell>
          <cell r="T3">
            <v>38912</v>
          </cell>
        </row>
        <row r="4">
          <cell r="D4" t="str">
            <v>Início do Projeto</v>
          </cell>
          <cell r="E4" t="str">
            <v>0 dias</v>
          </cell>
          <cell r="F4">
            <v>38719.333333333336</v>
          </cell>
          <cell r="G4">
            <v>38719.333333333336</v>
          </cell>
          <cell r="H4">
            <v>38719.333333333336</v>
          </cell>
          <cell r="I4">
            <v>38719.333333333336</v>
          </cell>
          <cell r="J4">
            <v>38719.333333333336</v>
          </cell>
          <cell r="K4">
            <v>38719.333333333336</v>
          </cell>
          <cell r="L4">
            <v>0</v>
          </cell>
          <cell r="M4">
            <v>0</v>
          </cell>
          <cell r="N4">
            <v>0</v>
          </cell>
          <cell r="O4">
            <v>100</v>
          </cell>
          <cell r="P4" t="str">
            <v>#ERRO</v>
          </cell>
          <cell r="R4" t="str">
            <v>3;4TI+79 dias;5TI+95 dias;6TI+84 dias;7TI+104 dias;8TI+130 dias</v>
          </cell>
          <cell r="T4">
            <v>38719</v>
          </cell>
        </row>
        <row r="5">
          <cell r="D5" t="str">
            <v>Recebimento Documentos de Referencia - ECM</v>
          </cell>
          <cell r="E5" t="str">
            <v>0 dias</v>
          </cell>
          <cell r="F5">
            <v>38719.333333333336</v>
          </cell>
          <cell r="G5">
            <v>38719.333333333336</v>
          </cell>
          <cell r="H5">
            <v>38719.333333333336</v>
          </cell>
          <cell r="I5">
            <v>38719.333333333336</v>
          </cell>
          <cell r="J5">
            <v>38719.333333333336</v>
          </cell>
          <cell r="K5">
            <v>38719.333333333336</v>
          </cell>
          <cell r="L5">
            <v>0</v>
          </cell>
          <cell r="M5">
            <v>0</v>
          </cell>
          <cell r="N5">
            <v>0</v>
          </cell>
          <cell r="O5">
            <v>100</v>
          </cell>
          <cell r="P5" t="str">
            <v>#ERRO</v>
          </cell>
          <cell r="Q5">
            <v>2</v>
          </cell>
          <cell r="R5" t="str">
            <v>14II;16II;20;21TI+34 dias;25;31;38;45;58;62II;582</v>
          </cell>
          <cell r="T5">
            <v>38719</v>
          </cell>
        </row>
        <row r="6">
          <cell r="D6" t="str">
            <v>Levantamento Topográfico GEOID</v>
          </cell>
          <cell r="E6" t="str">
            <v>0 dias</v>
          </cell>
          <cell r="F6">
            <v>38748.333333333336</v>
          </cell>
          <cell r="G6">
            <v>38839.333333333336</v>
          </cell>
          <cell r="H6">
            <v>38839.333333333336</v>
          </cell>
          <cell r="I6">
            <v>38748.333333333336</v>
          </cell>
          <cell r="J6">
            <v>38839.333333333336</v>
          </cell>
          <cell r="K6">
            <v>38839.333333333336</v>
          </cell>
          <cell r="L6">
            <v>0</v>
          </cell>
          <cell r="M6">
            <v>0</v>
          </cell>
          <cell r="N6">
            <v>0</v>
          </cell>
          <cell r="O6">
            <v>100</v>
          </cell>
          <cell r="P6" t="str">
            <v>#ERRO</v>
          </cell>
          <cell r="Q6" t="str">
            <v>2TI+79 dias</v>
          </cell>
          <cell r="R6" t="str">
            <v>16II</v>
          </cell>
          <cell r="T6">
            <v>38839</v>
          </cell>
        </row>
        <row r="7">
          <cell r="D7" t="str">
            <v>Distribuição Granuloquímica do ROM - Dados da Fundação Gorceix, UFMG e MMX</v>
          </cell>
          <cell r="E7" t="str">
            <v>0 dias</v>
          </cell>
          <cell r="F7">
            <v>38733.333333333336</v>
          </cell>
          <cell r="G7">
            <v>38861.333333333336</v>
          </cell>
          <cell r="H7">
            <v>38861.333333333336</v>
          </cell>
          <cell r="I7">
            <v>38733.333333333336</v>
          </cell>
          <cell r="J7">
            <v>38861.333333333336</v>
          </cell>
          <cell r="K7">
            <v>38861.333333333336</v>
          </cell>
          <cell r="L7">
            <v>0</v>
          </cell>
          <cell r="M7">
            <v>0</v>
          </cell>
          <cell r="N7">
            <v>0</v>
          </cell>
          <cell r="O7">
            <v>100</v>
          </cell>
          <cell r="P7" t="str">
            <v>#ERRO</v>
          </cell>
          <cell r="Q7" t="str">
            <v>2TI+95 dias</v>
          </cell>
          <cell r="R7" t="str">
            <v>14II</v>
          </cell>
          <cell r="T7">
            <v>38861</v>
          </cell>
        </row>
        <row r="8">
          <cell r="D8" t="str">
            <v>1ª Relocação da Usina (Platô e Barragem com Cotas Aproximadas)</v>
          </cell>
          <cell r="E8" t="str">
            <v>0 dias</v>
          </cell>
          <cell r="F8" t="str">
            <v>NA</v>
          </cell>
          <cell r="G8">
            <v>38846.333333333336</v>
          </cell>
          <cell r="H8">
            <v>38846.333333333336</v>
          </cell>
          <cell r="I8" t="str">
            <v>NA</v>
          </cell>
          <cell r="J8">
            <v>38846.333333333336</v>
          </cell>
          <cell r="K8">
            <v>38846.333333333336</v>
          </cell>
          <cell r="L8">
            <v>0</v>
          </cell>
          <cell r="M8">
            <v>0</v>
          </cell>
          <cell r="N8">
            <v>0</v>
          </cell>
          <cell r="O8">
            <v>100</v>
          </cell>
          <cell r="P8" t="str">
            <v>#ERRO</v>
          </cell>
          <cell r="Q8" t="str">
            <v>2TI+84 dias</v>
          </cell>
          <cell r="R8" t="str">
            <v>16II</v>
          </cell>
          <cell r="T8">
            <v>38846</v>
          </cell>
        </row>
        <row r="9">
          <cell r="D9" t="str">
            <v>2ª Relocação da Usina (Diminuição da Distância Entre o Platô e a Mina)</v>
          </cell>
          <cell r="E9" t="str">
            <v>0 dias</v>
          </cell>
          <cell r="F9" t="str">
            <v>NA</v>
          </cell>
          <cell r="G9">
            <v>38874.333333333336</v>
          </cell>
          <cell r="H9">
            <v>38874.333333333336</v>
          </cell>
          <cell r="I9" t="str">
            <v>NA</v>
          </cell>
          <cell r="J9">
            <v>38874.333333333336</v>
          </cell>
          <cell r="K9">
            <v>38874.333333333336</v>
          </cell>
          <cell r="L9">
            <v>0</v>
          </cell>
          <cell r="M9">
            <v>0</v>
          </cell>
          <cell r="N9">
            <v>0</v>
          </cell>
          <cell r="O9">
            <v>100</v>
          </cell>
          <cell r="P9" t="str">
            <v>#ERRO</v>
          </cell>
          <cell r="Q9" t="str">
            <v>2TI+104 dias</v>
          </cell>
          <cell r="R9" t="str">
            <v>16II</v>
          </cell>
          <cell r="T9">
            <v>38874</v>
          </cell>
        </row>
        <row r="10">
          <cell r="D10" t="str">
            <v>Revisão Geral do Layout da Planta Conforme Ata de Reunião E-PG-3625A-AR0036/06</v>
          </cell>
          <cell r="E10" t="str">
            <v>0 dias</v>
          </cell>
          <cell r="F10" t="str">
            <v>NA</v>
          </cell>
          <cell r="G10">
            <v>38912.333333333336</v>
          </cell>
          <cell r="H10">
            <v>38912.333333333336</v>
          </cell>
          <cell r="I10" t="str">
            <v>NA</v>
          </cell>
          <cell r="J10">
            <v>38912.333333333336</v>
          </cell>
          <cell r="K10">
            <v>38912.333333333336</v>
          </cell>
          <cell r="L10">
            <v>0</v>
          </cell>
          <cell r="M10">
            <v>0</v>
          </cell>
          <cell r="N10">
            <v>0</v>
          </cell>
          <cell r="O10">
            <v>100</v>
          </cell>
          <cell r="P10" t="str">
            <v>#ERRO</v>
          </cell>
          <cell r="Q10" t="str">
            <v>2TI+130 dias</v>
          </cell>
          <cell r="R10" t="str">
            <v>16II</v>
          </cell>
          <cell r="T10">
            <v>38912</v>
          </cell>
        </row>
        <row r="11">
          <cell r="B11">
            <v>1</v>
          </cell>
          <cell r="D11" t="str">
            <v>ENGENHARIA DE PROJETOS</v>
          </cell>
          <cell r="E11" t="str">
            <v>225 dias</v>
          </cell>
          <cell r="F11">
            <v>38719.375</v>
          </cell>
          <cell r="G11">
            <v>38728.333333333336</v>
          </cell>
          <cell r="H11">
            <v>38728.333333333336</v>
          </cell>
          <cell r="I11">
            <v>38988.604166666664</v>
          </cell>
          <cell r="J11">
            <v>39066.729166666664</v>
          </cell>
          <cell r="K11" t="str">
            <v>NA</v>
          </cell>
          <cell r="L11">
            <v>105.01</v>
          </cell>
          <cell r="M11">
            <v>2402.5</v>
          </cell>
          <cell r="N11">
            <v>473.38</v>
          </cell>
          <cell r="O11">
            <v>19.7</v>
          </cell>
          <cell r="P11">
            <v>19.7</v>
          </cell>
          <cell r="T11">
            <v>39066</v>
          </cell>
        </row>
        <row r="12">
          <cell r="B12" t="str">
            <v>1.1</v>
          </cell>
          <cell r="C12" t="str">
            <v>200A</v>
          </cell>
          <cell r="D12" t="str">
            <v>BENEFICIAMENTO</v>
          </cell>
          <cell r="E12" t="str">
            <v>225 dias</v>
          </cell>
          <cell r="F12">
            <v>38719.375</v>
          </cell>
          <cell r="G12">
            <v>38728.333333333336</v>
          </cell>
          <cell r="H12">
            <v>38728.333333333336</v>
          </cell>
          <cell r="I12">
            <v>38986.604166666664</v>
          </cell>
          <cell r="J12">
            <v>39066.729166666664</v>
          </cell>
          <cell r="K12" t="str">
            <v>NA</v>
          </cell>
          <cell r="L12">
            <v>75.48</v>
          </cell>
          <cell r="M12">
            <v>1726.88</v>
          </cell>
          <cell r="N12">
            <v>335.16</v>
          </cell>
          <cell r="O12">
            <v>19.41</v>
          </cell>
          <cell r="P12">
            <v>19.41</v>
          </cell>
          <cell r="T12">
            <v>39066</v>
          </cell>
        </row>
        <row r="13">
          <cell r="B13" t="str">
            <v>1.1.1</v>
          </cell>
          <cell r="C13" t="str">
            <v>205A</v>
          </cell>
          <cell r="D13" t="str">
            <v>Geral (0_)</v>
          </cell>
          <cell r="E13" t="str">
            <v>196 dias</v>
          </cell>
          <cell r="F13">
            <v>38728.333333333336</v>
          </cell>
          <cell r="G13">
            <v>38728.333333333336</v>
          </cell>
          <cell r="H13">
            <v>38728.333333333336</v>
          </cell>
          <cell r="I13">
            <v>38953.729166666664</v>
          </cell>
          <cell r="J13">
            <v>39022.729166666664</v>
          </cell>
          <cell r="K13" t="str">
            <v>NA</v>
          </cell>
          <cell r="L13">
            <v>14.04</v>
          </cell>
          <cell r="M13">
            <v>321.13</v>
          </cell>
          <cell r="N13">
            <v>135.54</v>
          </cell>
          <cell r="O13">
            <v>42.21</v>
          </cell>
          <cell r="P13">
            <v>42.21</v>
          </cell>
          <cell r="T13">
            <v>39022</v>
          </cell>
        </row>
        <row r="14">
          <cell r="D14" t="str">
            <v>Projeto Conceitual</v>
          </cell>
          <cell r="E14" t="str">
            <v>148 dias</v>
          </cell>
          <cell r="F14">
            <v>38728.333333333336</v>
          </cell>
          <cell r="G14">
            <v>38728.333333333336</v>
          </cell>
          <cell r="H14">
            <v>38728.333333333336</v>
          </cell>
          <cell r="I14">
            <v>38790.729166666664</v>
          </cell>
          <cell r="J14">
            <v>38950.729166666664</v>
          </cell>
          <cell r="K14" t="str">
            <v>NA</v>
          </cell>
          <cell r="L14">
            <v>0.61</v>
          </cell>
          <cell r="M14">
            <v>14</v>
          </cell>
          <cell r="N14">
            <v>12.6</v>
          </cell>
          <cell r="O14">
            <v>90</v>
          </cell>
          <cell r="P14">
            <v>90</v>
          </cell>
          <cell r="T14">
            <v>38950</v>
          </cell>
        </row>
        <row r="15">
          <cell r="D15" t="str">
            <v>Processo</v>
          </cell>
          <cell r="E15" t="str">
            <v>143 dias</v>
          </cell>
          <cell r="F15">
            <v>38728.333333333336</v>
          </cell>
          <cell r="G15">
            <v>38728.333333333336</v>
          </cell>
          <cell r="H15">
            <v>38728.333333333336</v>
          </cell>
          <cell r="I15">
            <v>38783.729166666664</v>
          </cell>
          <cell r="J15">
            <v>38939.729166666664</v>
          </cell>
          <cell r="K15" t="str">
            <v>NA</v>
          </cell>
          <cell r="L15">
            <v>0.52</v>
          </cell>
          <cell r="M15">
            <v>12</v>
          </cell>
          <cell r="N15">
            <v>10.8</v>
          </cell>
          <cell r="O15">
            <v>90</v>
          </cell>
          <cell r="P15">
            <v>90</v>
          </cell>
          <cell r="T15">
            <v>38939</v>
          </cell>
        </row>
        <row r="16">
          <cell r="B16" t="str">
            <v>BP.205.FP.01</v>
          </cell>
          <cell r="D16" t="str">
            <v>Fluxograma De Processo</v>
          </cell>
          <cell r="E16" t="str">
            <v>143 dias</v>
          </cell>
          <cell r="F16">
            <v>38728.333333333336</v>
          </cell>
          <cell r="G16">
            <v>38728.333333333336</v>
          </cell>
          <cell r="H16">
            <v>38728.333333333336</v>
          </cell>
          <cell r="I16">
            <v>38783.729166666664</v>
          </cell>
          <cell r="J16">
            <v>38939.729166666664</v>
          </cell>
          <cell r="K16" t="str">
            <v>NA</v>
          </cell>
          <cell r="L16">
            <v>0.52</v>
          </cell>
          <cell r="M16">
            <v>12</v>
          </cell>
          <cell r="N16">
            <v>10.8</v>
          </cell>
          <cell r="O16">
            <v>90</v>
          </cell>
          <cell r="P16">
            <v>90</v>
          </cell>
          <cell r="Q16" t="str">
            <v>3II;5II</v>
          </cell>
          <cell r="R16" t="str">
            <v>17;22II;26II;29II;30II;32II;33II;39II;59II;88II;90II;117II;138II;209II;235II;240II;335II;337II;341;382II;388II;390II;394II;306II;184II;186II;273II;275II;166II;167II;421II;584II</v>
          </cell>
          <cell r="S16" t="str">
            <v>EQUIPE PRO[18%]</v>
          </cell>
          <cell r="T16">
            <v>38939</v>
          </cell>
        </row>
        <row r="17">
          <cell r="D17" t="str">
            <v>Mecânica</v>
          </cell>
          <cell r="E17" t="str">
            <v>56 dias</v>
          </cell>
          <cell r="F17">
            <v>38769.333333333336</v>
          </cell>
          <cell r="G17">
            <v>38835.333333333336</v>
          </cell>
          <cell r="H17">
            <v>38835.333333333336</v>
          </cell>
          <cell r="I17">
            <v>38790.729166666664</v>
          </cell>
          <cell r="J17">
            <v>38917.729166666664</v>
          </cell>
          <cell r="K17" t="str">
            <v>NA</v>
          </cell>
          <cell r="L17">
            <v>0.09</v>
          </cell>
          <cell r="M17">
            <v>2</v>
          </cell>
          <cell r="N17">
            <v>1.8</v>
          </cell>
          <cell r="O17">
            <v>90</v>
          </cell>
          <cell r="P17">
            <v>90</v>
          </cell>
          <cell r="T17">
            <v>38917</v>
          </cell>
        </row>
        <row r="18">
          <cell r="B18" t="str">
            <v>BB.205.DB.02</v>
          </cell>
          <cell r="D18" t="str">
            <v>Desenho Básico (Arranjo Geral da Planta)</v>
          </cell>
          <cell r="E18" t="str">
            <v>56 dias</v>
          </cell>
          <cell r="F18">
            <v>38769.333333333336</v>
          </cell>
          <cell r="G18">
            <v>38835.333333333336</v>
          </cell>
          <cell r="H18">
            <v>38835.333333333336</v>
          </cell>
          <cell r="I18">
            <v>38783.729166666664</v>
          </cell>
          <cell r="J18">
            <v>38917.729166666664</v>
          </cell>
          <cell r="K18" t="str">
            <v>NA</v>
          </cell>
          <cell r="L18">
            <v>0.09</v>
          </cell>
          <cell r="M18">
            <v>2</v>
          </cell>
          <cell r="N18">
            <v>1.8</v>
          </cell>
          <cell r="O18">
            <v>90</v>
          </cell>
          <cell r="P18">
            <v>90</v>
          </cell>
          <cell r="Q18" t="str">
            <v>3II;4II;6II;7II;8II</v>
          </cell>
          <cell r="R18" t="str">
            <v>17;26II;29II;30II;32II;33II;49II;46II;50II;59II;579II;76II;75;714II;715II;431II;463;511II;514II;580II;631II;745II+77 dias</v>
          </cell>
          <cell r="S18" t="str">
            <v>EQUIPE MEC[15%]</v>
          </cell>
          <cell r="T18">
            <v>38917</v>
          </cell>
        </row>
        <row r="19">
          <cell r="D19" t="str">
            <v>APROVAÇÃO MMX</v>
          </cell>
          <cell r="E19" t="str">
            <v>5 dias</v>
          </cell>
          <cell r="F19">
            <v>38784.333333333336</v>
          </cell>
          <cell r="G19">
            <v>38940.333333333336</v>
          </cell>
          <cell r="H19" t="str">
            <v>NA</v>
          </cell>
          <cell r="I19">
            <v>38790.729166666664</v>
          </cell>
          <cell r="J19">
            <v>38950.729166666664</v>
          </cell>
          <cell r="K19" t="str">
            <v>NA</v>
          </cell>
          <cell r="L19">
            <v>0</v>
          </cell>
          <cell r="M19">
            <v>0</v>
          </cell>
          <cell r="N19">
            <v>0</v>
          </cell>
          <cell r="O19">
            <v>0</v>
          </cell>
          <cell r="P19" t="str">
            <v>#ERRO</v>
          </cell>
          <cell r="Q19" t="str">
            <v>14;16</v>
          </cell>
          <cell r="T19">
            <v>38950</v>
          </cell>
        </row>
        <row r="20">
          <cell r="D20" t="str">
            <v>Projeto Básico</v>
          </cell>
          <cell r="E20" t="str">
            <v>145 dias</v>
          </cell>
          <cell r="F20">
            <v>38757.333333333336</v>
          </cell>
          <cell r="G20">
            <v>38757.333333333336</v>
          </cell>
          <cell r="H20">
            <v>38757.333333333336</v>
          </cell>
          <cell r="I20">
            <v>38868.729166666664</v>
          </cell>
          <cell r="J20">
            <v>38978.729166666664</v>
          </cell>
          <cell r="K20" t="str">
            <v>NA</v>
          </cell>
          <cell r="L20">
            <v>7.91</v>
          </cell>
          <cell r="M20">
            <v>181</v>
          </cell>
          <cell r="N20">
            <v>117.06</v>
          </cell>
          <cell r="O20">
            <v>64.680000000000007</v>
          </cell>
          <cell r="P20">
            <v>64.680000000000007</v>
          </cell>
          <cell r="T20">
            <v>38978</v>
          </cell>
        </row>
        <row r="21">
          <cell r="D21" t="str">
            <v>Processo</v>
          </cell>
          <cell r="E21" t="str">
            <v>124 dias</v>
          </cell>
          <cell r="F21">
            <v>38757.333333333336</v>
          </cell>
          <cell r="G21">
            <v>38757.333333333336</v>
          </cell>
          <cell r="H21">
            <v>38757.333333333336</v>
          </cell>
          <cell r="I21">
            <v>38792.729166666664</v>
          </cell>
          <cell r="J21">
            <v>38945.729166666664</v>
          </cell>
          <cell r="K21" t="str">
            <v>NA</v>
          </cell>
          <cell r="L21">
            <v>0.32</v>
          </cell>
          <cell r="M21">
            <v>7.38</v>
          </cell>
          <cell r="N21">
            <v>5.84</v>
          </cell>
          <cell r="O21">
            <v>79.150000000000006</v>
          </cell>
          <cell r="P21">
            <v>79.150000000000006</v>
          </cell>
          <cell r="T21">
            <v>38945</v>
          </cell>
        </row>
        <row r="22">
          <cell r="B22" t="str">
            <v>BP.205.CP.01</v>
          </cell>
          <cell r="D22" t="str">
            <v>Critério De Projeto De Processo</v>
          </cell>
          <cell r="E22" t="str">
            <v>33 dias</v>
          </cell>
          <cell r="F22">
            <v>38757.333333333336</v>
          </cell>
          <cell r="G22">
            <v>38757.333333333336</v>
          </cell>
          <cell r="H22">
            <v>38757.333333333336</v>
          </cell>
          <cell r="I22">
            <v>38783.729166666664</v>
          </cell>
          <cell r="J22">
            <v>38806.729166666664</v>
          </cell>
          <cell r="K22" t="str">
            <v>NA</v>
          </cell>
          <cell r="L22">
            <v>0.15</v>
          </cell>
          <cell r="M22">
            <v>3.5</v>
          </cell>
          <cell r="N22">
            <v>3.15</v>
          </cell>
          <cell r="O22">
            <v>90</v>
          </cell>
          <cell r="P22">
            <v>90</v>
          </cell>
          <cell r="Q22">
            <v>3</v>
          </cell>
          <cell r="R22">
            <v>23</v>
          </cell>
          <cell r="S22" t="str">
            <v>EQUIPE PRO[21%]</v>
          </cell>
          <cell r="T22">
            <v>38806</v>
          </cell>
        </row>
        <row r="23">
          <cell r="B23" t="str">
            <v>BP.205.MD.01</v>
          </cell>
          <cell r="D23" t="str">
            <v>Memorial Descritivo</v>
          </cell>
          <cell r="E23" t="str">
            <v>113 dias</v>
          </cell>
          <cell r="F23">
            <v>38765.333333333336</v>
          </cell>
          <cell r="G23">
            <v>38765.333333333336</v>
          </cell>
          <cell r="H23">
            <v>38765.333333333336</v>
          </cell>
          <cell r="I23">
            <v>38783.729166666664</v>
          </cell>
          <cell r="J23">
            <v>38936.729166666664</v>
          </cell>
          <cell r="K23" t="str">
            <v>NA</v>
          </cell>
          <cell r="L23">
            <v>0.08</v>
          </cell>
          <cell r="M23">
            <v>1.88</v>
          </cell>
          <cell r="N23">
            <v>1.69</v>
          </cell>
          <cell r="O23">
            <v>90</v>
          </cell>
          <cell r="P23">
            <v>90</v>
          </cell>
          <cell r="Q23" t="str">
            <v>3TI+34 dias</v>
          </cell>
          <cell r="R23">
            <v>23</v>
          </cell>
          <cell r="S23" t="str">
            <v>EQUIPE PRO[2%]</v>
          </cell>
          <cell r="T23">
            <v>38936</v>
          </cell>
        </row>
        <row r="24">
          <cell r="B24" t="str">
            <v>BP.205.FD.01</v>
          </cell>
          <cell r="D24" t="str">
            <v>Folha De Dados</v>
          </cell>
          <cell r="E24" t="str">
            <v>13 dias</v>
          </cell>
          <cell r="F24">
            <v>38784.333333333336</v>
          </cell>
          <cell r="G24">
            <v>38922.333333333336</v>
          </cell>
          <cell r="H24">
            <v>38922.333333333336</v>
          </cell>
          <cell r="I24">
            <v>38787.729166666664</v>
          </cell>
          <cell r="J24">
            <v>38938.729166666664</v>
          </cell>
          <cell r="K24" t="str">
            <v>NA</v>
          </cell>
          <cell r="L24">
            <v>0.09</v>
          </cell>
          <cell r="M24">
            <v>2</v>
          </cell>
          <cell r="N24">
            <v>1</v>
          </cell>
          <cell r="O24">
            <v>50</v>
          </cell>
          <cell r="P24">
            <v>50</v>
          </cell>
          <cell r="Q24" t="str">
            <v>14II</v>
          </cell>
          <cell r="S24" t="str">
            <v>EQUIPE PRO[15%]</v>
          </cell>
          <cell r="T24">
            <v>38938</v>
          </cell>
        </row>
        <row r="25">
          <cell r="D25" t="str">
            <v>APROVAÇÃO EBX</v>
          </cell>
          <cell r="E25" t="str">
            <v>5 dias</v>
          </cell>
          <cell r="F25">
            <v>38788.333333333336</v>
          </cell>
          <cell r="G25">
            <v>38937.333333333336</v>
          </cell>
          <cell r="H25" t="str">
            <v>NA</v>
          </cell>
          <cell r="I25">
            <v>38792.729166666664</v>
          </cell>
          <cell r="J25">
            <v>38945.729166666664</v>
          </cell>
          <cell r="K25" t="str">
            <v>NA</v>
          </cell>
          <cell r="L25">
            <v>0</v>
          </cell>
          <cell r="M25">
            <v>0</v>
          </cell>
          <cell r="N25">
            <v>0</v>
          </cell>
          <cell r="O25">
            <v>0</v>
          </cell>
          <cell r="P25" t="str">
            <v>#ERRO</v>
          </cell>
          <cell r="Q25" t="str">
            <v>20;21</v>
          </cell>
          <cell r="T25">
            <v>38945</v>
          </cell>
        </row>
        <row r="26">
          <cell r="D26" t="str">
            <v>Mecânica</v>
          </cell>
          <cell r="E26" t="str">
            <v>131 dias</v>
          </cell>
          <cell r="F26">
            <v>38762.333333333336</v>
          </cell>
          <cell r="G26">
            <v>38762.333333333336</v>
          </cell>
          <cell r="H26">
            <v>38762.333333333336</v>
          </cell>
          <cell r="I26">
            <v>38854.729166666664</v>
          </cell>
          <cell r="J26">
            <v>38959.729166666664</v>
          </cell>
          <cell r="K26" t="str">
            <v>NA</v>
          </cell>
          <cell r="L26">
            <v>2.33</v>
          </cell>
          <cell r="M26">
            <v>53.25</v>
          </cell>
          <cell r="N26">
            <v>40.08</v>
          </cell>
          <cell r="O26">
            <v>75.260000000000005</v>
          </cell>
          <cell r="P26">
            <v>75.260000000000005</v>
          </cell>
          <cell r="T26">
            <v>38959</v>
          </cell>
        </row>
        <row r="27">
          <cell r="B27" t="str">
            <v>BB.205.CP.01</v>
          </cell>
          <cell r="D27" t="str">
            <v>Critério De Projeto</v>
          </cell>
          <cell r="E27" t="str">
            <v>85 dias</v>
          </cell>
          <cell r="F27">
            <v>38793.333333333336</v>
          </cell>
          <cell r="G27">
            <v>38793.333333333336</v>
          </cell>
          <cell r="H27">
            <v>38793.333333333336</v>
          </cell>
          <cell r="I27">
            <v>38806.729166666664</v>
          </cell>
          <cell r="J27">
            <v>38919.729166666664</v>
          </cell>
          <cell r="K27" t="str">
            <v>NA</v>
          </cell>
          <cell r="L27">
            <v>7.0000000000000007E-2</v>
          </cell>
          <cell r="M27">
            <v>1.63</v>
          </cell>
          <cell r="N27">
            <v>1.46</v>
          </cell>
          <cell r="O27">
            <v>90</v>
          </cell>
          <cell r="P27">
            <v>90</v>
          </cell>
          <cell r="Q27">
            <v>3</v>
          </cell>
          <cell r="S27" t="str">
            <v>EQUIPE MEC</v>
          </cell>
          <cell r="T27">
            <v>38919</v>
          </cell>
        </row>
        <row r="28">
          <cell r="B28" t="str">
            <v>BB.205.DB.01</v>
          </cell>
          <cell r="D28" t="str">
            <v>Desenho Básico (Arrajos Planta e Plano Diretor)</v>
          </cell>
          <cell r="E28" t="str">
            <v>72 dias</v>
          </cell>
          <cell r="F28">
            <v>38769.333333333336</v>
          </cell>
          <cell r="G28">
            <v>38835.333333333336</v>
          </cell>
          <cell r="H28">
            <v>38835.333333333336</v>
          </cell>
          <cell r="I28">
            <v>38786.729166666664</v>
          </cell>
          <cell r="J28">
            <v>38939.729166666664</v>
          </cell>
          <cell r="K28" t="str">
            <v>NA</v>
          </cell>
          <cell r="L28">
            <v>0.35</v>
          </cell>
          <cell r="M28">
            <v>8</v>
          </cell>
          <cell r="N28">
            <v>4.8</v>
          </cell>
          <cell r="O28">
            <v>60</v>
          </cell>
          <cell r="P28">
            <v>60</v>
          </cell>
          <cell r="Q28" t="str">
            <v>14II;16II</v>
          </cell>
          <cell r="R28" t="str">
            <v>27;40;471</v>
          </cell>
          <cell r="S28" t="str">
            <v>EQUIPE MEC[25%]</v>
          </cell>
          <cell r="T28">
            <v>38939</v>
          </cell>
        </row>
        <row r="29">
          <cell r="D29" t="str">
            <v>APROVAÇÃO EBX</v>
          </cell>
          <cell r="E29" t="str">
            <v>5 dias</v>
          </cell>
          <cell r="F29">
            <v>38807.333333333336</v>
          </cell>
          <cell r="G29">
            <v>38940.333333333336</v>
          </cell>
          <cell r="H29" t="str">
            <v>NA</v>
          </cell>
          <cell r="I29">
            <v>38814.729166666664</v>
          </cell>
          <cell r="J29">
            <v>38950.729166666664</v>
          </cell>
          <cell r="K29" t="str">
            <v>NA</v>
          </cell>
          <cell r="L29">
            <v>0</v>
          </cell>
          <cell r="M29">
            <v>0</v>
          </cell>
          <cell r="N29">
            <v>0</v>
          </cell>
          <cell r="O29">
            <v>0</v>
          </cell>
          <cell r="P29" t="str">
            <v>#ERRO</v>
          </cell>
          <cell r="Q29">
            <v>26</v>
          </cell>
          <cell r="T29">
            <v>38950</v>
          </cell>
        </row>
        <row r="30">
          <cell r="D30" t="str">
            <v>Especificação Técnica</v>
          </cell>
          <cell r="E30" t="str">
            <v>117 dias</v>
          </cell>
          <cell r="F30">
            <v>38762.333333333336</v>
          </cell>
          <cell r="G30">
            <v>38762.333333333336</v>
          </cell>
          <cell r="H30">
            <v>38762.333333333336</v>
          </cell>
          <cell r="I30">
            <v>38854.375</v>
          </cell>
          <cell r="J30">
            <v>38937.729166666664</v>
          </cell>
          <cell r="K30" t="str">
            <v>NA</v>
          </cell>
          <cell r="L30">
            <v>0.77</v>
          </cell>
          <cell r="M30">
            <v>17.63</v>
          </cell>
          <cell r="N30">
            <v>14.46</v>
          </cell>
          <cell r="O30">
            <v>82.06</v>
          </cell>
          <cell r="P30">
            <v>82.06</v>
          </cell>
          <cell r="T30">
            <v>38937</v>
          </cell>
        </row>
        <row r="31">
          <cell r="B31" t="str">
            <v>BB.205.ET.01</v>
          </cell>
          <cell r="D31" t="str">
            <v>Talhas e Pontes Rolantes</v>
          </cell>
          <cell r="E31" t="str">
            <v>70 dias</v>
          </cell>
          <cell r="F31">
            <v>38806.333333333336</v>
          </cell>
          <cell r="G31">
            <v>38835.333333333336</v>
          </cell>
          <cell r="H31">
            <v>38835.333333333336</v>
          </cell>
          <cell r="I31">
            <v>38854.729166666664</v>
          </cell>
          <cell r="J31">
            <v>38937.729166666664</v>
          </cell>
          <cell r="K31" t="str">
            <v>NA</v>
          </cell>
          <cell r="L31">
            <v>0.35</v>
          </cell>
          <cell r="M31">
            <v>8</v>
          </cell>
          <cell r="N31">
            <v>6.4</v>
          </cell>
          <cell r="O31">
            <v>80</v>
          </cell>
          <cell r="P31">
            <v>80</v>
          </cell>
          <cell r="Q31" t="str">
            <v>14II;16II</v>
          </cell>
          <cell r="S31" t="str">
            <v>EQUIPE MEC[57%]</v>
          </cell>
          <cell r="T31">
            <v>38937</v>
          </cell>
        </row>
        <row r="32">
          <cell r="B32" t="str">
            <v>BB.205.ET.02</v>
          </cell>
          <cell r="D32" t="str">
            <v>Caldeiraria</v>
          </cell>
          <cell r="E32" t="str">
            <v>68 dias</v>
          </cell>
          <cell r="F32">
            <v>38832.333333333336</v>
          </cell>
          <cell r="G32">
            <v>38835.333333333336</v>
          </cell>
          <cell r="H32">
            <v>38835.333333333336</v>
          </cell>
          <cell r="I32">
            <v>38854.729166666664</v>
          </cell>
          <cell r="J32">
            <v>38933.729166666664</v>
          </cell>
          <cell r="K32" t="str">
            <v>NA</v>
          </cell>
          <cell r="L32">
            <v>0.13</v>
          </cell>
          <cell r="M32">
            <v>3</v>
          </cell>
          <cell r="N32">
            <v>2.1</v>
          </cell>
          <cell r="O32">
            <v>70</v>
          </cell>
          <cell r="P32">
            <v>70</v>
          </cell>
          <cell r="Q32" t="str">
            <v>14II;16II</v>
          </cell>
          <cell r="R32" t="str">
            <v>99TI+10 dias;126TI+10 dias;220TI+10 dias;250TI+10 dias;347TI+10 dias;400TI+10 dias;191TI+10 dias;283TI+15 dias;170TI+30 dias</v>
          </cell>
          <cell r="S32" t="str">
            <v>EQUIPE MEC[22%]</v>
          </cell>
          <cell r="T32">
            <v>38933</v>
          </cell>
        </row>
        <row r="33">
          <cell r="B33" t="str">
            <v>BB.205.ET.03</v>
          </cell>
          <cell r="D33" t="str">
            <v>Pintura</v>
          </cell>
          <cell r="E33" t="str">
            <v>15 dias</v>
          </cell>
          <cell r="F33">
            <v>38762.333333333336</v>
          </cell>
          <cell r="G33">
            <v>38762.333333333336</v>
          </cell>
          <cell r="H33">
            <v>38762.333333333336</v>
          </cell>
          <cell r="I33">
            <v>38786.729166666664</v>
          </cell>
          <cell r="J33">
            <v>38785.729166666664</v>
          </cell>
          <cell r="K33" t="str">
            <v>NA</v>
          </cell>
          <cell r="L33">
            <v>0.11</v>
          </cell>
          <cell r="M33">
            <v>2.63</v>
          </cell>
          <cell r="N33">
            <v>2.36</v>
          </cell>
          <cell r="O33">
            <v>90</v>
          </cell>
          <cell r="P33">
            <v>90</v>
          </cell>
          <cell r="Q33">
            <v>3</v>
          </cell>
          <cell r="S33" t="str">
            <v>EQUIPE MEC</v>
          </cell>
          <cell r="T33">
            <v>38785</v>
          </cell>
        </row>
        <row r="34">
          <cell r="B34" t="str">
            <v>BB.205.ET.04</v>
          </cell>
          <cell r="D34" t="str">
            <v>Transportadores e Alimentadores de Correia</v>
          </cell>
          <cell r="E34" t="str">
            <v>94 dias</v>
          </cell>
          <cell r="F34">
            <v>38786.333333333336</v>
          </cell>
          <cell r="G34">
            <v>38786.333333333336</v>
          </cell>
          <cell r="H34">
            <v>38786.333333333336</v>
          </cell>
          <cell r="I34">
            <v>38812.729166666664</v>
          </cell>
          <cell r="J34">
            <v>38925.729166666664</v>
          </cell>
          <cell r="K34" t="str">
            <v>NA</v>
          </cell>
          <cell r="L34">
            <v>0.17</v>
          </cell>
          <cell r="M34">
            <v>4</v>
          </cell>
          <cell r="N34">
            <v>3.6</v>
          </cell>
          <cell r="O34">
            <v>90</v>
          </cell>
          <cell r="P34">
            <v>90</v>
          </cell>
          <cell r="Q34" t="str">
            <v>14II;16II</v>
          </cell>
          <cell r="R34" t="str">
            <v>74TI+45 dias</v>
          </cell>
          <cell r="S34" t="str">
            <v>EQUIPE MEC[19%]</v>
          </cell>
          <cell r="T34">
            <v>38925</v>
          </cell>
        </row>
        <row r="35">
          <cell r="B35" t="str">
            <v>BB.205.LE.01</v>
          </cell>
          <cell r="D35" t="str">
            <v>Lista De Equipamentos</v>
          </cell>
          <cell r="E35" t="str">
            <v>33 dias</v>
          </cell>
          <cell r="F35">
            <v>38793.333333333336</v>
          </cell>
          <cell r="G35">
            <v>38863.333333333336</v>
          </cell>
          <cell r="H35">
            <v>38863.333333333336</v>
          </cell>
          <cell r="I35">
            <v>38803.375</v>
          </cell>
          <cell r="J35">
            <v>38911.729166666664</v>
          </cell>
          <cell r="K35" t="str">
            <v>NA</v>
          </cell>
          <cell r="L35">
            <v>0.14000000000000001</v>
          </cell>
          <cell r="M35">
            <v>3.25</v>
          </cell>
          <cell r="N35">
            <v>2.93</v>
          </cell>
          <cell r="O35">
            <v>90</v>
          </cell>
          <cell r="P35">
            <v>90</v>
          </cell>
          <cell r="Q35" t="str">
            <v>14II;16II</v>
          </cell>
          <cell r="R35" t="str">
            <v>34II;36;584II</v>
          </cell>
          <cell r="S35" t="str">
            <v>EQUIPE MEC[9%]</v>
          </cell>
          <cell r="T35">
            <v>38911</v>
          </cell>
        </row>
        <row r="36">
          <cell r="B36" t="str">
            <v>BB.205.PQ.01</v>
          </cell>
          <cell r="D36" t="str">
            <v>Planilha De Quantitativos</v>
          </cell>
          <cell r="E36" t="str">
            <v>26 dias</v>
          </cell>
          <cell r="F36">
            <v>38804.333333333336</v>
          </cell>
          <cell r="G36">
            <v>38891.333333333336</v>
          </cell>
          <cell r="H36">
            <v>38891.333333333336</v>
          </cell>
          <cell r="I36">
            <v>38812.375</v>
          </cell>
          <cell r="J36">
            <v>38926.729166666664</v>
          </cell>
          <cell r="K36" t="str">
            <v>NA</v>
          </cell>
          <cell r="L36">
            <v>0.11</v>
          </cell>
          <cell r="M36">
            <v>2.63</v>
          </cell>
          <cell r="N36">
            <v>2.36</v>
          </cell>
          <cell r="O36">
            <v>90</v>
          </cell>
          <cell r="P36">
            <v>90</v>
          </cell>
          <cell r="Q36" t="str">
            <v>33II</v>
          </cell>
          <cell r="R36" t="str">
            <v>35II;36;461II;509II;577II</v>
          </cell>
          <cell r="S36" t="str">
            <v>EQUIPE MEC[19%]</v>
          </cell>
          <cell r="T36">
            <v>38926</v>
          </cell>
        </row>
        <row r="37">
          <cell r="B37" t="str">
            <v>BB.205.OI.01</v>
          </cell>
          <cell r="D37" t="str">
            <v>Orçamento De Investimentos</v>
          </cell>
          <cell r="E37" t="str">
            <v>9 dias</v>
          </cell>
          <cell r="F37">
            <v>38812.333333333336</v>
          </cell>
          <cell r="G37">
            <v>38891.333333333336</v>
          </cell>
          <cell r="H37">
            <v>38891.333333333336</v>
          </cell>
          <cell r="I37">
            <v>38824.375</v>
          </cell>
          <cell r="J37">
            <v>38903.729166666664</v>
          </cell>
          <cell r="K37" t="str">
            <v>NA</v>
          </cell>
          <cell r="L37">
            <v>0.68</v>
          </cell>
          <cell r="M37">
            <v>15.63</v>
          </cell>
          <cell r="N37">
            <v>14.06</v>
          </cell>
          <cell r="O37">
            <v>90</v>
          </cell>
          <cell r="P37">
            <v>90</v>
          </cell>
          <cell r="Q37" t="str">
            <v>34II</v>
          </cell>
          <cell r="S37" t="str">
            <v>EQUIPE MEC</v>
          </cell>
          <cell r="T37">
            <v>38903</v>
          </cell>
        </row>
        <row r="38">
          <cell r="B38" t="str">
            <v>BB.205.MD.02</v>
          </cell>
          <cell r="D38" t="str">
            <v>Memorial Descr. Montagem (Mec/Tub/Met/Ele/TSA)</v>
          </cell>
          <cell r="E38" t="str">
            <v>21 dias</v>
          </cell>
          <cell r="F38">
            <v>38824.333333333336</v>
          </cell>
          <cell r="G38">
            <v>38929.333333333336</v>
          </cell>
          <cell r="H38" t="str">
            <v>NA</v>
          </cell>
          <cell r="I38">
            <v>38832.375</v>
          </cell>
          <cell r="J38">
            <v>38959.729166666664</v>
          </cell>
          <cell r="K38" t="str">
            <v>NA</v>
          </cell>
          <cell r="L38">
            <v>0.2</v>
          </cell>
          <cell r="M38">
            <v>4.5</v>
          </cell>
          <cell r="N38">
            <v>0</v>
          </cell>
          <cell r="O38">
            <v>0</v>
          </cell>
          <cell r="P38">
            <v>0</v>
          </cell>
          <cell r="Q38" t="str">
            <v>33;34</v>
          </cell>
          <cell r="R38">
            <v>69</v>
          </cell>
          <cell r="S38" t="str">
            <v>EQUIPE MEC[33%]</v>
          </cell>
          <cell r="T38">
            <v>38959</v>
          </cell>
        </row>
        <row r="39">
          <cell r="D39" t="str">
            <v>Tubulação</v>
          </cell>
          <cell r="E39" t="str">
            <v>111 dias</v>
          </cell>
          <cell r="F39">
            <v>38793.375</v>
          </cell>
          <cell r="G39">
            <v>38794.333333333336</v>
          </cell>
          <cell r="H39">
            <v>38794.333333333336</v>
          </cell>
          <cell r="I39">
            <v>38868.729166666664</v>
          </cell>
          <cell r="J39">
            <v>38960.729166666664</v>
          </cell>
          <cell r="K39" t="str">
            <v>NA</v>
          </cell>
          <cell r="L39">
            <v>2.29</v>
          </cell>
          <cell r="M39">
            <v>52.38</v>
          </cell>
          <cell r="N39">
            <v>44.44</v>
          </cell>
          <cell r="O39">
            <v>84.84</v>
          </cell>
          <cell r="P39">
            <v>84.84</v>
          </cell>
          <cell r="T39">
            <v>38960</v>
          </cell>
        </row>
        <row r="40">
          <cell r="B40" t="str">
            <v>BH.205.CP.01</v>
          </cell>
          <cell r="D40" t="str">
            <v>Critério De Projeto</v>
          </cell>
          <cell r="E40" t="str">
            <v>80 dias</v>
          </cell>
          <cell r="F40">
            <v>38793.333333333336</v>
          </cell>
          <cell r="G40">
            <v>38794.333333333336</v>
          </cell>
          <cell r="H40">
            <v>38794.333333333336</v>
          </cell>
          <cell r="I40">
            <v>38812.729166666664</v>
          </cell>
          <cell r="J40">
            <v>38915.729166666664</v>
          </cell>
          <cell r="K40" t="str">
            <v>NA</v>
          </cell>
          <cell r="L40">
            <v>0.04</v>
          </cell>
          <cell r="M40">
            <v>0.88</v>
          </cell>
          <cell r="N40">
            <v>0.79</v>
          </cell>
          <cell r="O40">
            <v>90</v>
          </cell>
          <cell r="P40">
            <v>90</v>
          </cell>
          <cell r="Q40">
            <v>3</v>
          </cell>
          <cell r="S40" t="str">
            <v>EQUIPE TUB</v>
          </cell>
          <cell r="T40">
            <v>38915</v>
          </cell>
        </row>
        <row r="41">
          <cell r="B41" t="str">
            <v>BH.205.FE.01</v>
          </cell>
          <cell r="D41" t="str">
            <v>Fluxograma De Engenharia</v>
          </cell>
          <cell r="E41" t="str">
            <v>63 dias</v>
          </cell>
          <cell r="F41">
            <v>38812.333333333336</v>
          </cell>
          <cell r="G41">
            <v>38852.333333333336</v>
          </cell>
          <cell r="H41">
            <v>38852.333333333336</v>
          </cell>
          <cell r="I41">
            <v>38846.729166666664</v>
          </cell>
          <cell r="J41">
            <v>38940.729166666664</v>
          </cell>
          <cell r="K41" t="str">
            <v>NA</v>
          </cell>
          <cell r="L41">
            <v>0.94</v>
          </cell>
          <cell r="M41">
            <v>21.5</v>
          </cell>
          <cell r="N41">
            <v>19.350000000000001</v>
          </cell>
          <cell r="O41">
            <v>90</v>
          </cell>
          <cell r="P41">
            <v>90</v>
          </cell>
          <cell r="Q41" t="str">
            <v>14II</v>
          </cell>
          <cell r="R41" t="str">
            <v>63;42II;43II;59II;40;65;68;69;214II;244II;245II;252II;341II;342II;349II;395II;394II;403II;312II;311II;370II;371II;279II;278II;286II;428II;429II;438II;674II+131 dias</v>
          </cell>
          <cell r="S41" t="str">
            <v>EQUIPE TUB[83%]</v>
          </cell>
          <cell r="T41">
            <v>38940</v>
          </cell>
        </row>
        <row r="42">
          <cell r="B42" t="str">
            <v>BH.205.DB.01</v>
          </cell>
          <cell r="D42" t="str">
            <v>Desenho Básico - Rota Básica de Tubulação</v>
          </cell>
          <cell r="E42" t="str">
            <v>7 dias</v>
          </cell>
          <cell r="F42" t="str">
            <v>NA</v>
          </cell>
          <cell r="G42">
            <v>38945.333333333336</v>
          </cell>
          <cell r="H42" t="str">
            <v>NA</v>
          </cell>
          <cell r="I42" t="str">
            <v>NA</v>
          </cell>
          <cell r="J42">
            <v>38953.729166666664</v>
          </cell>
          <cell r="K42" t="str">
            <v>NA</v>
          </cell>
          <cell r="L42">
            <v>0.13</v>
          </cell>
          <cell r="M42">
            <v>3</v>
          </cell>
          <cell r="N42">
            <v>0</v>
          </cell>
          <cell r="O42">
            <v>0</v>
          </cell>
          <cell r="P42">
            <v>0</v>
          </cell>
          <cell r="Q42" t="str">
            <v>26;39</v>
          </cell>
          <cell r="R42" t="str">
            <v>41;60</v>
          </cell>
          <cell r="S42" t="str">
            <v>EQUIPE TUB</v>
          </cell>
          <cell r="T42">
            <v>38953</v>
          </cell>
        </row>
        <row r="43">
          <cell r="D43" t="str">
            <v>APROVAÇÃO EBX</v>
          </cell>
          <cell r="E43" t="str">
            <v>5 dias</v>
          </cell>
          <cell r="F43">
            <v>38846.333333333336</v>
          </cell>
          <cell r="G43">
            <v>38954.333333333336</v>
          </cell>
          <cell r="H43" t="str">
            <v>NA</v>
          </cell>
          <cell r="I43">
            <v>38853.729166666664</v>
          </cell>
          <cell r="J43">
            <v>38960.729166666664</v>
          </cell>
          <cell r="K43" t="str">
            <v>NA</v>
          </cell>
          <cell r="L43">
            <v>0</v>
          </cell>
          <cell r="M43">
            <v>0</v>
          </cell>
          <cell r="N43">
            <v>0</v>
          </cell>
          <cell r="O43">
            <v>0</v>
          </cell>
          <cell r="P43" t="str">
            <v>#ERRO</v>
          </cell>
          <cell r="Q43">
            <v>40</v>
          </cell>
          <cell r="T43">
            <v>38960</v>
          </cell>
        </row>
        <row r="44">
          <cell r="B44" t="str">
            <v>BH.205.ET.01</v>
          </cell>
          <cell r="D44" t="str">
            <v>Especificação Técnica - Bombas</v>
          </cell>
          <cell r="E44" t="str">
            <v>33 dias</v>
          </cell>
          <cell r="F44">
            <v>38846.333333333336</v>
          </cell>
          <cell r="G44">
            <v>38869.333333333336</v>
          </cell>
          <cell r="H44">
            <v>38869.333333333336</v>
          </cell>
          <cell r="I44">
            <v>38868.729166666664</v>
          </cell>
          <cell r="J44">
            <v>38917.729166666664</v>
          </cell>
          <cell r="K44" t="str">
            <v>NA</v>
          </cell>
          <cell r="L44">
            <v>0.91</v>
          </cell>
          <cell r="M44">
            <v>20.75</v>
          </cell>
          <cell r="N44">
            <v>18.68</v>
          </cell>
          <cell r="O44">
            <v>90</v>
          </cell>
          <cell r="P44">
            <v>90</v>
          </cell>
          <cell r="Q44" t="str">
            <v>39II</v>
          </cell>
          <cell r="R44" t="str">
            <v>72TI+45 dias</v>
          </cell>
          <cell r="S44" t="str">
            <v>EQUIPE TUB[155%]</v>
          </cell>
          <cell r="T44">
            <v>38917</v>
          </cell>
        </row>
        <row r="45">
          <cell r="B45" t="str">
            <v>BH.205.PQ.01</v>
          </cell>
          <cell r="D45" t="str">
            <v>Planilha De Quantitativos</v>
          </cell>
          <cell r="E45" t="str">
            <v>19 dias</v>
          </cell>
          <cell r="F45">
            <v>38862.333333333336</v>
          </cell>
          <cell r="G45">
            <v>38901.333333333336</v>
          </cell>
          <cell r="H45">
            <v>38901.333333333336</v>
          </cell>
          <cell r="I45">
            <v>38868.729166666664</v>
          </cell>
          <cell r="J45">
            <v>38925.729166666664</v>
          </cell>
          <cell r="K45" t="str">
            <v>NA</v>
          </cell>
          <cell r="L45">
            <v>0.27</v>
          </cell>
          <cell r="M45">
            <v>6.25</v>
          </cell>
          <cell r="N45">
            <v>5.63</v>
          </cell>
          <cell r="O45">
            <v>90</v>
          </cell>
          <cell r="P45">
            <v>90</v>
          </cell>
          <cell r="Q45" t="str">
            <v>39II</v>
          </cell>
          <cell r="S45" t="str">
            <v>EQUIPE TUB[21%]</v>
          </cell>
          <cell r="T45">
            <v>38925</v>
          </cell>
        </row>
        <row r="46">
          <cell r="D46" t="str">
            <v>Civil</v>
          </cell>
          <cell r="E46" t="str">
            <v>85 dias</v>
          </cell>
          <cell r="F46">
            <v>38789.333333333336</v>
          </cell>
          <cell r="G46">
            <v>38807.333333333336</v>
          </cell>
          <cell r="H46">
            <v>38807.333333333336</v>
          </cell>
          <cell r="I46">
            <v>38853.729166666664</v>
          </cell>
          <cell r="J46">
            <v>38933.729166666664</v>
          </cell>
          <cell r="K46" t="str">
            <v>NA</v>
          </cell>
          <cell r="L46">
            <v>0.97</v>
          </cell>
          <cell r="M46">
            <v>22.25</v>
          </cell>
          <cell r="N46">
            <v>20.64</v>
          </cell>
          <cell r="O46">
            <v>92.75</v>
          </cell>
          <cell r="P46">
            <v>92.75</v>
          </cell>
          <cell r="T46">
            <v>38933</v>
          </cell>
        </row>
        <row r="47">
          <cell r="B47" t="str">
            <v>BC.205.CP.01</v>
          </cell>
          <cell r="D47" t="str">
            <v>Critério De Projeto</v>
          </cell>
          <cell r="E47" t="str">
            <v>9 dias</v>
          </cell>
          <cell r="F47">
            <v>38806.333333333336</v>
          </cell>
          <cell r="G47">
            <v>38807.333333333336</v>
          </cell>
          <cell r="H47">
            <v>38807.333333333336</v>
          </cell>
          <cell r="I47">
            <v>38819.729166666664</v>
          </cell>
          <cell r="J47">
            <v>38819.729166666664</v>
          </cell>
          <cell r="K47" t="str">
            <v>NA</v>
          </cell>
          <cell r="L47">
            <v>0.08</v>
          </cell>
          <cell r="M47">
            <v>1.75</v>
          </cell>
          <cell r="N47">
            <v>1.58</v>
          </cell>
          <cell r="O47">
            <v>90</v>
          </cell>
          <cell r="P47">
            <v>90</v>
          </cell>
          <cell r="Q47">
            <v>3</v>
          </cell>
          <cell r="R47">
            <v>47</v>
          </cell>
          <cell r="S47" t="str">
            <v>EQUIPE CIV</v>
          </cell>
          <cell r="T47">
            <v>38819</v>
          </cell>
        </row>
        <row r="48">
          <cell r="B48" t="str">
            <v>BC.205.DB.01</v>
          </cell>
          <cell r="D48" t="str">
            <v>Desenho Básico - Locação De Sondagem</v>
          </cell>
          <cell r="E48" t="str">
            <v>63 dias</v>
          </cell>
          <cell r="F48">
            <v>38789.333333333336</v>
          </cell>
          <cell r="G48">
            <v>38835.333333333336</v>
          </cell>
          <cell r="H48">
            <v>38835.333333333336</v>
          </cell>
          <cell r="I48">
            <v>38796.729166666664</v>
          </cell>
          <cell r="J48">
            <v>38926.729166666664</v>
          </cell>
          <cell r="K48" t="str">
            <v>NA</v>
          </cell>
          <cell r="L48">
            <v>0.13</v>
          </cell>
          <cell r="M48">
            <v>3</v>
          </cell>
          <cell r="N48">
            <v>2.8</v>
          </cell>
          <cell r="O48">
            <v>93.33</v>
          </cell>
          <cell r="P48">
            <v>93.33</v>
          </cell>
          <cell r="Q48" t="str">
            <v>16II</v>
          </cell>
          <cell r="R48">
            <v>47</v>
          </cell>
          <cell r="S48" t="str">
            <v>EQUIPE CIV[16%]</v>
          </cell>
          <cell r="T48">
            <v>38926</v>
          </cell>
        </row>
        <row r="49">
          <cell r="D49" t="str">
            <v>APROVAÇÃO EBX</v>
          </cell>
          <cell r="E49" t="str">
            <v>5 dias</v>
          </cell>
          <cell r="F49">
            <v>38796.333333333336</v>
          </cell>
          <cell r="G49">
            <v>38929.333333333336</v>
          </cell>
          <cell r="H49" t="str">
            <v>NA</v>
          </cell>
          <cell r="I49">
            <v>38803.729166666664</v>
          </cell>
          <cell r="J49">
            <v>38933.729166666664</v>
          </cell>
          <cell r="K49" t="str">
            <v>NA</v>
          </cell>
          <cell r="L49">
            <v>0</v>
          </cell>
          <cell r="M49">
            <v>0</v>
          </cell>
          <cell r="N49">
            <v>0</v>
          </cell>
          <cell r="O49">
            <v>0</v>
          </cell>
          <cell r="P49" t="str">
            <v>#ERRO</v>
          </cell>
          <cell r="Q49" t="str">
            <v>45;46</v>
          </cell>
          <cell r="T49">
            <v>38933</v>
          </cell>
        </row>
        <row r="50">
          <cell r="D50" t="str">
            <v>Memorial Descritivo</v>
          </cell>
          <cell r="E50" t="str">
            <v>54 dias</v>
          </cell>
          <cell r="F50">
            <v>38813.333333333336</v>
          </cell>
          <cell r="G50">
            <v>38813.333333333336</v>
          </cell>
          <cell r="H50">
            <v>38813.333333333336</v>
          </cell>
          <cell r="I50">
            <v>38853.729166666664</v>
          </cell>
          <cell r="J50">
            <v>38896.729166666664</v>
          </cell>
          <cell r="K50" t="str">
            <v>NA</v>
          </cell>
          <cell r="L50">
            <v>0.13</v>
          </cell>
          <cell r="M50">
            <v>2.88</v>
          </cell>
          <cell r="N50">
            <v>2.59</v>
          </cell>
          <cell r="O50">
            <v>90</v>
          </cell>
          <cell r="P50">
            <v>90</v>
          </cell>
          <cell r="T50">
            <v>38896</v>
          </cell>
        </row>
        <row r="51">
          <cell r="B51" t="str">
            <v>BC.205.MD.01</v>
          </cell>
          <cell r="D51" t="str">
            <v>Terraplenagem</v>
          </cell>
          <cell r="E51" t="str">
            <v>25 dias</v>
          </cell>
          <cell r="F51">
            <v>38813.333333333336</v>
          </cell>
          <cell r="G51">
            <v>38813.333333333336</v>
          </cell>
          <cell r="H51">
            <v>38813.333333333336</v>
          </cell>
          <cell r="I51">
            <v>38819.729166666664</v>
          </cell>
          <cell r="J51">
            <v>38853.729166666664</v>
          </cell>
          <cell r="K51" t="str">
            <v>NA</v>
          </cell>
          <cell r="L51">
            <v>0.02</v>
          </cell>
          <cell r="M51">
            <v>0.5</v>
          </cell>
          <cell r="N51">
            <v>0.45</v>
          </cell>
          <cell r="O51">
            <v>90</v>
          </cell>
          <cell r="P51">
            <v>90</v>
          </cell>
          <cell r="Q51" t="str">
            <v>16II</v>
          </cell>
          <cell r="R51" t="str">
            <v>52;579II</v>
          </cell>
          <cell r="S51" t="str">
            <v>EQUIPE CIV[20%]</v>
          </cell>
          <cell r="T51">
            <v>38853</v>
          </cell>
        </row>
        <row r="52">
          <cell r="B52" t="str">
            <v>BC.205.MD.02</v>
          </cell>
          <cell r="D52" t="str">
            <v>Obras Civis - Concreto</v>
          </cell>
          <cell r="E52" t="str">
            <v>14 dias</v>
          </cell>
          <cell r="F52">
            <v>38847.333333333336</v>
          </cell>
          <cell r="G52">
            <v>38875.333333333336</v>
          </cell>
          <cell r="H52">
            <v>38875.333333333336</v>
          </cell>
          <cell r="I52">
            <v>38853.729166666664</v>
          </cell>
          <cell r="J52">
            <v>38896.729166666664</v>
          </cell>
          <cell r="K52" t="str">
            <v>NA</v>
          </cell>
          <cell r="L52">
            <v>0.1</v>
          </cell>
          <cell r="M52">
            <v>2.38</v>
          </cell>
          <cell r="N52">
            <v>2.14</v>
          </cell>
          <cell r="O52">
            <v>90</v>
          </cell>
          <cell r="P52">
            <v>90</v>
          </cell>
          <cell r="Q52" t="str">
            <v>16II</v>
          </cell>
          <cell r="R52" t="str">
            <v>53II</v>
          </cell>
          <cell r="S52" t="str">
            <v>EQUIPE CIV[36%]</v>
          </cell>
          <cell r="T52">
            <v>38896</v>
          </cell>
        </row>
        <row r="53">
          <cell r="D53" t="str">
            <v>Critério De Medição De Serviço</v>
          </cell>
          <cell r="E53" t="str">
            <v>54 dias</v>
          </cell>
          <cell r="F53">
            <v>38810.333333333336</v>
          </cell>
          <cell r="G53">
            <v>38835.333333333336</v>
          </cell>
          <cell r="H53">
            <v>38835.333333333336</v>
          </cell>
          <cell r="I53">
            <v>38853.729166666664</v>
          </cell>
          <cell r="J53">
            <v>38915.729166666664</v>
          </cell>
          <cell r="K53" t="str">
            <v>NA</v>
          </cell>
          <cell r="L53">
            <v>0.18</v>
          </cell>
          <cell r="M53">
            <v>4.13</v>
          </cell>
          <cell r="N53">
            <v>3.71</v>
          </cell>
          <cell r="O53">
            <v>90</v>
          </cell>
          <cell r="P53">
            <v>90</v>
          </cell>
          <cell r="T53">
            <v>38915</v>
          </cell>
        </row>
        <row r="54">
          <cell r="B54" t="str">
            <v>BC.205.CM.01</v>
          </cell>
          <cell r="D54" t="str">
            <v>Terraplenagem</v>
          </cell>
          <cell r="E54" t="str">
            <v>54 dias</v>
          </cell>
          <cell r="F54">
            <v>38810.333333333336</v>
          </cell>
          <cell r="G54">
            <v>38835.333333333336</v>
          </cell>
          <cell r="H54">
            <v>38835.333333333336</v>
          </cell>
          <cell r="I54">
            <v>38819.729166666664</v>
          </cell>
          <cell r="J54">
            <v>38915.729166666664</v>
          </cell>
          <cell r="K54" t="str">
            <v>NA</v>
          </cell>
          <cell r="L54">
            <v>0.08</v>
          </cell>
          <cell r="M54">
            <v>1.88</v>
          </cell>
          <cell r="N54">
            <v>1.69</v>
          </cell>
          <cell r="O54">
            <v>90</v>
          </cell>
          <cell r="P54">
            <v>90</v>
          </cell>
          <cell r="Q54">
            <v>49</v>
          </cell>
          <cell r="R54" t="str">
            <v>55II</v>
          </cell>
          <cell r="S54" t="str">
            <v>EQUIPE CIV[15%]</v>
          </cell>
          <cell r="T54">
            <v>38915</v>
          </cell>
        </row>
        <row r="55">
          <cell r="B55" t="str">
            <v>BC.205.CM.02</v>
          </cell>
          <cell r="D55" t="str">
            <v>Obras Civis - Concreto</v>
          </cell>
          <cell r="E55" t="str">
            <v>5 dias</v>
          </cell>
          <cell r="F55">
            <v>38842.333333333336</v>
          </cell>
          <cell r="G55">
            <v>38875.333333333336</v>
          </cell>
          <cell r="H55">
            <v>38875.333333333336</v>
          </cell>
          <cell r="I55">
            <v>38853.729166666664</v>
          </cell>
          <cell r="J55">
            <v>38881.729166666664</v>
          </cell>
          <cell r="K55" t="str">
            <v>NA</v>
          </cell>
          <cell r="L55">
            <v>0.1</v>
          </cell>
          <cell r="M55">
            <v>2.25</v>
          </cell>
          <cell r="N55">
            <v>2.0299999999999998</v>
          </cell>
          <cell r="O55">
            <v>90</v>
          </cell>
          <cell r="P55">
            <v>90</v>
          </cell>
          <cell r="Q55" t="str">
            <v>50II</v>
          </cell>
          <cell r="R55" t="str">
            <v>56II</v>
          </cell>
          <cell r="S55" t="str">
            <v>EQUIPE CIV</v>
          </cell>
          <cell r="T55">
            <v>38881</v>
          </cell>
        </row>
        <row r="56">
          <cell r="D56" t="str">
            <v>Planilha De Quantitativos</v>
          </cell>
          <cell r="E56" t="str">
            <v>39 dias</v>
          </cell>
          <cell r="F56">
            <v>38803.333333333336</v>
          </cell>
          <cell r="G56">
            <v>38875.333333333336</v>
          </cell>
          <cell r="H56">
            <v>38875.333333333336</v>
          </cell>
          <cell r="I56">
            <v>38819.729166666664</v>
          </cell>
          <cell r="J56">
            <v>38931.729166666664</v>
          </cell>
          <cell r="K56" t="str">
            <v>NA</v>
          </cell>
          <cell r="L56">
            <v>0.46</v>
          </cell>
          <cell r="M56">
            <v>10.5</v>
          </cell>
          <cell r="N56">
            <v>9.9600000000000009</v>
          </cell>
          <cell r="O56">
            <v>94.88</v>
          </cell>
          <cell r="P56">
            <v>94.88</v>
          </cell>
          <cell r="T56">
            <v>38931</v>
          </cell>
        </row>
        <row r="57">
          <cell r="B57" t="str">
            <v>BC.205.PQ.01</v>
          </cell>
          <cell r="D57" t="str">
            <v>Terraplenagem</v>
          </cell>
          <cell r="E57" t="str">
            <v>38 dias</v>
          </cell>
          <cell r="F57">
            <v>38804.333333333336</v>
          </cell>
          <cell r="G57">
            <v>38875.333333333336</v>
          </cell>
          <cell r="H57">
            <v>38875.333333333336</v>
          </cell>
          <cell r="I57">
            <v>38819.729166666664</v>
          </cell>
          <cell r="J57">
            <v>38930.729166666664</v>
          </cell>
          <cell r="K57" t="str">
            <v>NA</v>
          </cell>
          <cell r="L57">
            <v>0.21</v>
          </cell>
          <cell r="M57">
            <v>4.88</v>
          </cell>
          <cell r="N57">
            <v>4.46</v>
          </cell>
          <cell r="O57">
            <v>91.54</v>
          </cell>
          <cell r="P57">
            <v>91.54</v>
          </cell>
          <cell r="Q57" t="str">
            <v>52II</v>
          </cell>
          <cell r="R57" t="str">
            <v>579II</v>
          </cell>
          <cell r="S57" t="str">
            <v>EQUIPE CIV[40%]</v>
          </cell>
          <cell r="T57">
            <v>38930</v>
          </cell>
        </row>
        <row r="58">
          <cell r="B58" t="str">
            <v>BC.205.PQ.02</v>
          </cell>
          <cell r="D58" t="str">
            <v>Obras Civis - Concreto</v>
          </cell>
          <cell r="E58" t="str">
            <v>18 dias</v>
          </cell>
          <cell r="F58">
            <v>38803.333333333336</v>
          </cell>
          <cell r="G58">
            <v>38908.333333333336</v>
          </cell>
          <cell r="H58">
            <v>38908.333333333336</v>
          </cell>
          <cell r="I58">
            <v>38819.729166666664</v>
          </cell>
          <cell r="J58">
            <v>38931.729166666664</v>
          </cell>
          <cell r="K58" t="str">
            <v>NA</v>
          </cell>
          <cell r="L58">
            <v>0.25</v>
          </cell>
          <cell r="M58">
            <v>5.63</v>
          </cell>
          <cell r="N58">
            <v>5.5</v>
          </cell>
          <cell r="O58">
            <v>97.78</v>
          </cell>
          <cell r="P58">
            <v>97.78</v>
          </cell>
          <cell r="Q58" t="str">
            <v>53II</v>
          </cell>
          <cell r="S58" t="str">
            <v>EQUIPE CIV</v>
          </cell>
          <cell r="T58">
            <v>38931</v>
          </cell>
        </row>
        <row r="59">
          <cell r="D59" t="str">
            <v>Estrutura Metálica</v>
          </cell>
          <cell r="E59" t="str">
            <v>117 dias</v>
          </cell>
          <cell r="F59">
            <v>38786.333333333336</v>
          </cell>
          <cell r="G59">
            <v>38790.333333333336</v>
          </cell>
          <cell r="H59">
            <v>38790.333333333336</v>
          </cell>
          <cell r="I59">
            <v>38805.729166666664</v>
          </cell>
          <cell r="J59">
            <v>38964.729166666664</v>
          </cell>
          <cell r="K59" t="str">
            <v>NA</v>
          </cell>
          <cell r="L59">
            <v>0.51</v>
          </cell>
          <cell r="M59">
            <v>11.63</v>
          </cell>
          <cell r="N59">
            <v>4.28</v>
          </cell>
          <cell r="O59">
            <v>36.770000000000003</v>
          </cell>
          <cell r="P59">
            <v>36.770000000000003</v>
          </cell>
          <cell r="T59">
            <v>38964</v>
          </cell>
        </row>
        <row r="60">
          <cell r="B60" t="str">
            <v>BD.205.CP.01</v>
          </cell>
          <cell r="D60" t="str">
            <v>Critério De Projeto</v>
          </cell>
          <cell r="E60" t="str">
            <v>16 dias</v>
          </cell>
          <cell r="F60">
            <v>38786.333333333336</v>
          </cell>
          <cell r="G60">
            <v>38790.333333333336</v>
          </cell>
          <cell r="H60">
            <v>38790.333333333336</v>
          </cell>
          <cell r="I60">
            <v>38810.729166666664</v>
          </cell>
          <cell r="J60">
            <v>38811.729166666664</v>
          </cell>
          <cell r="K60" t="str">
            <v>NA</v>
          </cell>
          <cell r="L60">
            <v>0.19</v>
          </cell>
          <cell r="M60">
            <v>4.25</v>
          </cell>
          <cell r="N60">
            <v>3.83</v>
          </cell>
          <cell r="O60">
            <v>90</v>
          </cell>
          <cell r="P60">
            <v>90</v>
          </cell>
          <cell r="Q60">
            <v>3</v>
          </cell>
          <cell r="S60" t="str">
            <v>EQUIPE MET</v>
          </cell>
          <cell r="T60">
            <v>38811</v>
          </cell>
        </row>
        <row r="61">
          <cell r="B61" t="str">
            <v>BD.205.PQ.01</v>
          </cell>
          <cell r="D61" t="str">
            <v>Planilha De Quantitativos</v>
          </cell>
          <cell r="E61" t="str">
            <v>2 dias</v>
          </cell>
          <cell r="F61">
            <v>38804.333333333336</v>
          </cell>
          <cell r="G61">
            <v>38925.333333333336</v>
          </cell>
          <cell r="H61">
            <v>38925.333333333336</v>
          </cell>
          <cell r="I61">
            <v>38805.729166666664</v>
          </cell>
          <cell r="J61">
            <v>38926.729166666664</v>
          </cell>
          <cell r="K61" t="str">
            <v>NA</v>
          </cell>
          <cell r="L61">
            <v>0.02</v>
          </cell>
          <cell r="M61">
            <v>0.5</v>
          </cell>
          <cell r="N61">
            <v>0.45</v>
          </cell>
          <cell r="O61">
            <v>90</v>
          </cell>
          <cell r="P61">
            <v>90</v>
          </cell>
          <cell r="Q61" t="str">
            <v>14II;16II;39II</v>
          </cell>
          <cell r="S61" t="str">
            <v>EQUIPE MET</v>
          </cell>
          <cell r="T61">
            <v>38926</v>
          </cell>
        </row>
        <row r="62">
          <cell r="B62" t="str">
            <v>BD.205.MC.01</v>
          </cell>
          <cell r="D62" t="str">
            <v>Memória De Cálculo - Pipe Rack</v>
          </cell>
          <cell r="E62" t="str">
            <v>7 dias</v>
          </cell>
          <cell r="F62">
            <v>38793.333333333336</v>
          </cell>
          <cell r="G62">
            <v>38954.333333333336</v>
          </cell>
          <cell r="H62" t="str">
            <v>NA</v>
          </cell>
          <cell r="I62">
            <v>38804.729166666664</v>
          </cell>
          <cell r="J62">
            <v>38964.729166666664</v>
          </cell>
          <cell r="K62" t="str">
            <v>NA</v>
          </cell>
          <cell r="L62">
            <v>0.3</v>
          </cell>
          <cell r="M62">
            <v>6.88</v>
          </cell>
          <cell r="N62">
            <v>0</v>
          </cell>
          <cell r="O62">
            <v>0</v>
          </cell>
          <cell r="P62">
            <v>0</v>
          </cell>
          <cell r="Q62">
            <v>40</v>
          </cell>
          <cell r="R62" t="str">
            <v>81;79</v>
          </cell>
          <cell r="S62" t="str">
            <v>EQUIPE MET</v>
          </cell>
          <cell r="T62">
            <v>38964</v>
          </cell>
        </row>
        <row r="63">
          <cell r="D63" t="str">
            <v>Instrumentação</v>
          </cell>
          <cell r="E63" t="str">
            <v>123 dias</v>
          </cell>
          <cell r="F63">
            <v>38793.333333333336</v>
          </cell>
          <cell r="G63">
            <v>38792.333333333336</v>
          </cell>
          <cell r="H63">
            <v>38792.333333333336</v>
          </cell>
          <cell r="I63">
            <v>38867.729166666664</v>
          </cell>
          <cell r="J63">
            <v>38978.729166666664</v>
          </cell>
          <cell r="K63" t="str">
            <v>NA</v>
          </cell>
          <cell r="L63">
            <v>1.49</v>
          </cell>
          <cell r="M63">
            <v>34.130000000000003</v>
          </cell>
          <cell r="N63">
            <v>1.8</v>
          </cell>
          <cell r="O63">
            <v>5.27</v>
          </cell>
          <cell r="P63">
            <v>5.27</v>
          </cell>
          <cell r="T63">
            <v>38978</v>
          </cell>
        </row>
        <row r="64">
          <cell r="B64" t="str">
            <v>BT.205.CP.01</v>
          </cell>
          <cell r="D64" t="str">
            <v>Critério De Projeto</v>
          </cell>
          <cell r="E64" t="str">
            <v>5 dias</v>
          </cell>
          <cell r="F64">
            <v>38793.333333333336</v>
          </cell>
          <cell r="G64">
            <v>38792.333333333336</v>
          </cell>
          <cell r="H64">
            <v>38792.333333333336</v>
          </cell>
          <cell r="I64">
            <v>38803.729166666664</v>
          </cell>
          <cell r="J64">
            <v>38798.729166666664</v>
          </cell>
          <cell r="K64" t="str">
            <v>NA</v>
          </cell>
          <cell r="L64">
            <v>0.09</v>
          </cell>
          <cell r="M64">
            <v>2</v>
          </cell>
          <cell r="N64">
            <v>1.8</v>
          </cell>
          <cell r="O64">
            <v>90</v>
          </cell>
          <cell r="P64">
            <v>90</v>
          </cell>
          <cell r="Q64" t="str">
            <v>3II</v>
          </cell>
          <cell r="S64" t="str">
            <v>EQUIPE TSA</v>
          </cell>
          <cell r="T64">
            <v>38798</v>
          </cell>
        </row>
        <row r="65">
          <cell r="B65" t="str">
            <v>BT.205.LE.01</v>
          </cell>
          <cell r="D65" t="str">
            <v>Lista De Instrumentos</v>
          </cell>
          <cell r="E65" t="str">
            <v>4 dias</v>
          </cell>
          <cell r="F65">
            <v>38846.333333333336</v>
          </cell>
          <cell r="G65">
            <v>38945.333333333336</v>
          </cell>
          <cell r="H65" t="str">
            <v>NA</v>
          </cell>
          <cell r="I65">
            <v>38852.729166666664</v>
          </cell>
          <cell r="J65">
            <v>38950.729166666664</v>
          </cell>
          <cell r="K65" t="str">
            <v>NA</v>
          </cell>
          <cell r="L65">
            <v>0.11</v>
          </cell>
          <cell r="M65">
            <v>2.5</v>
          </cell>
          <cell r="N65">
            <v>0</v>
          </cell>
          <cell r="O65">
            <v>0</v>
          </cell>
          <cell r="P65">
            <v>0</v>
          </cell>
          <cell r="Q65">
            <v>39</v>
          </cell>
          <cell r="R65" t="str">
            <v>64II;67;83</v>
          </cell>
          <cell r="S65" t="str">
            <v>EQUIPE TSA</v>
          </cell>
          <cell r="T65">
            <v>38950</v>
          </cell>
        </row>
        <row r="66">
          <cell r="B66" t="str">
            <v>BT.205.PQ.01</v>
          </cell>
          <cell r="D66" t="str">
            <v>Planilha De Quantitativos</v>
          </cell>
          <cell r="E66" t="str">
            <v>4 dias</v>
          </cell>
          <cell r="F66">
            <v>38861.333333333336</v>
          </cell>
          <cell r="G66">
            <v>38945.333333333336</v>
          </cell>
          <cell r="H66" t="str">
            <v>NA</v>
          </cell>
          <cell r="I66">
            <v>38867.729166666664</v>
          </cell>
          <cell r="J66">
            <v>38950.729166666664</v>
          </cell>
          <cell r="K66" t="str">
            <v>NA</v>
          </cell>
          <cell r="L66">
            <v>0.05</v>
          </cell>
          <cell r="M66">
            <v>1.25</v>
          </cell>
          <cell r="N66">
            <v>0</v>
          </cell>
          <cell r="O66">
            <v>0</v>
          </cell>
          <cell r="P66">
            <v>0</v>
          </cell>
          <cell r="Q66" t="str">
            <v>63II</v>
          </cell>
          <cell r="S66" t="str">
            <v>EQUIPE TSA</v>
          </cell>
          <cell r="T66">
            <v>38950</v>
          </cell>
        </row>
        <row r="67">
          <cell r="B67" t="str">
            <v>BT.205.DB.01</v>
          </cell>
          <cell r="D67" t="str">
            <v>Desenho Básico - Conf. Sistema Automação</v>
          </cell>
          <cell r="E67" t="str">
            <v>7 dias</v>
          </cell>
          <cell r="F67" t="str">
            <v>NA</v>
          </cell>
          <cell r="G67">
            <v>38945.333333333336</v>
          </cell>
          <cell r="H67" t="str">
            <v>NA</v>
          </cell>
          <cell r="I67" t="str">
            <v>NA</v>
          </cell>
          <cell r="J67">
            <v>38953.729166666664</v>
          </cell>
          <cell r="K67" t="str">
            <v>NA</v>
          </cell>
          <cell r="L67">
            <v>0.09</v>
          </cell>
          <cell r="M67">
            <v>2</v>
          </cell>
          <cell r="N67">
            <v>0</v>
          </cell>
          <cell r="O67">
            <v>0</v>
          </cell>
          <cell r="P67">
            <v>0</v>
          </cell>
          <cell r="Q67">
            <v>39</v>
          </cell>
          <cell r="R67">
            <v>83</v>
          </cell>
          <cell r="S67" t="str">
            <v>EQUIPE TSA</v>
          </cell>
          <cell r="T67">
            <v>38953</v>
          </cell>
        </row>
        <row r="68">
          <cell r="B68" t="str">
            <v>BT.205.ET.01</v>
          </cell>
          <cell r="D68" t="str">
            <v>Espec. Técnica - Instrumentos/ Equip. Automação</v>
          </cell>
          <cell r="E68" t="str">
            <v>6 dias</v>
          </cell>
          <cell r="F68" t="str">
            <v>NA</v>
          </cell>
          <cell r="G68">
            <v>38971.333333333336</v>
          </cell>
          <cell r="H68" t="str">
            <v>NA</v>
          </cell>
          <cell r="I68" t="str">
            <v>NA</v>
          </cell>
          <cell r="J68">
            <v>38978.729166666664</v>
          </cell>
          <cell r="K68" t="str">
            <v>NA</v>
          </cell>
          <cell r="L68">
            <v>0.11</v>
          </cell>
          <cell r="M68">
            <v>2.5</v>
          </cell>
          <cell r="N68">
            <v>0</v>
          </cell>
          <cell r="O68">
            <v>0</v>
          </cell>
          <cell r="P68">
            <v>0</v>
          </cell>
          <cell r="Q68" t="str">
            <v>67TT</v>
          </cell>
          <cell r="S68" t="str">
            <v>EQUIPE TSA</v>
          </cell>
          <cell r="T68">
            <v>38978</v>
          </cell>
        </row>
        <row r="69">
          <cell r="B69" t="str">
            <v>BT.205.FD.01</v>
          </cell>
          <cell r="D69" t="str">
            <v>Folha De Dados</v>
          </cell>
          <cell r="E69" t="str">
            <v>18 dias</v>
          </cell>
          <cell r="F69" t="str">
            <v>NA</v>
          </cell>
          <cell r="G69">
            <v>38951.333333333336</v>
          </cell>
          <cell r="H69" t="str">
            <v>NA</v>
          </cell>
          <cell r="I69" t="str">
            <v>NA</v>
          </cell>
          <cell r="J69">
            <v>38978.729166666664</v>
          </cell>
          <cell r="K69" t="str">
            <v>NA</v>
          </cell>
          <cell r="L69">
            <v>0.52</v>
          </cell>
          <cell r="M69">
            <v>12</v>
          </cell>
          <cell r="N69">
            <v>0</v>
          </cell>
          <cell r="O69">
            <v>0</v>
          </cell>
          <cell r="P69">
            <v>0</v>
          </cell>
          <cell r="Q69">
            <v>63</v>
          </cell>
          <cell r="R69" t="str">
            <v>66TT</v>
          </cell>
          <cell r="S69" t="str">
            <v>EQUIPE TSA</v>
          </cell>
          <cell r="T69">
            <v>38978</v>
          </cell>
        </row>
        <row r="70">
          <cell r="B70" t="str">
            <v>BT.205.ES.01</v>
          </cell>
          <cell r="D70" t="str">
            <v>Relação De Entradas/ Saídas</v>
          </cell>
          <cell r="E70" t="str">
            <v>20 dias</v>
          </cell>
          <cell r="F70" t="str">
            <v>NA</v>
          </cell>
          <cell r="G70">
            <v>38945.333333333336</v>
          </cell>
          <cell r="H70" t="str">
            <v>NA</v>
          </cell>
          <cell r="I70" t="str">
            <v>NA</v>
          </cell>
          <cell r="J70">
            <v>38974.729166666664</v>
          </cell>
          <cell r="K70" t="str">
            <v>NA</v>
          </cell>
          <cell r="L70">
            <v>0.44</v>
          </cell>
          <cell r="M70">
            <v>10</v>
          </cell>
          <cell r="N70">
            <v>0</v>
          </cell>
          <cell r="O70">
            <v>0</v>
          </cell>
          <cell r="P70">
            <v>0</v>
          </cell>
          <cell r="Q70">
            <v>39</v>
          </cell>
          <cell r="R70">
            <v>83</v>
          </cell>
          <cell r="S70" t="str">
            <v>EQUIPE TSA[125%]</v>
          </cell>
          <cell r="T70">
            <v>38974</v>
          </cell>
        </row>
        <row r="71">
          <cell r="B71" t="str">
            <v>BT.205.MD.01</v>
          </cell>
          <cell r="D71" t="str">
            <v>Memorial Descritivo</v>
          </cell>
          <cell r="E71" t="str">
            <v>7 dias</v>
          </cell>
          <cell r="F71">
            <v>38852.333333333336</v>
          </cell>
          <cell r="G71">
            <v>38960.333333333336</v>
          </cell>
          <cell r="H71" t="str">
            <v>NA</v>
          </cell>
          <cell r="I71">
            <v>38861.729166666664</v>
          </cell>
          <cell r="J71">
            <v>38972.729166666664</v>
          </cell>
          <cell r="K71" t="str">
            <v>NA</v>
          </cell>
          <cell r="L71">
            <v>0.08</v>
          </cell>
          <cell r="M71">
            <v>1.88</v>
          </cell>
          <cell r="N71">
            <v>0</v>
          </cell>
          <cell r="O71">
            <v>0</v>
          </cell>
          <cell r="P71">
            <v>0</v>
          </cell>
          <cell r="Q71" t="str">
            <v>36;39</v>
          </cell>
          <cell r="S71" t="str">
            <v>EQUIPE TSA</v>
          </cell>
          <cell r="T71">
            <v>38972</v>
          </cell>
        </row>
        <row r="72">
          <cell r="D72" t="str">
            <v>Projeto Detalhado</v>
          </cell>
          <cell r="E72" t="str">
            <v>105 dias</v>
          </cell>
          <cell r="F72">
            <v>38845.375</v>
          </cell>
          <cell r="G72">
            <v>38866.333333333336</v>
          </cell>
          <cell r="H72">
            <v>38866.333333333336</v>
          </cell>
          <cell r="I72">
            <v>38953.729166666664</v>
          </cell>
          <cell r="J72">
            <v>39022.729166666664</v>
          </cell>
          <cell r="K72" t="str">
            <v>NA</v>
          </cell>
          <cell r="L72">
            <v>5.51</v>
          </cell>
          <cell r="M72">
            <v>126.13</v>
          </cell>
          <cell r="N72">
            <v>5.88</v>
          </cell>
          <cell r="O72">
            <v>4.66</v>
          </cell>
          <cell r="P72">
            <v>4.66</v>
          </cell>
          <cell r="T72">
            <v>39022</v>
          </cell>
        </row>
        <row r="73">
          <cell r="D73" t="str">
            <v>Tubulação</v>
          </cell>
          <cell r="E73" t="str">
            <v>8 dias</v>
          </cell>
          <cell r="F73">
            <v>38911.333333333336</v>
          </cell>
          <cell r="G73">
            <v>38987.333333333336</v>
          </cell>
          <cell r="H73" t="str">
            <v>NA</v>
          </cell>
          <cell r="I73">
            <v>38923.729166666664</v>
          </cell>
          <cell r="J73">
            <v>38996.729166666664</v>
          </cell>
          <cell r="K73" t="str">
            <v>NA</v>
          </cell>
          <cell r="L73">
            <v>0.31</v>
          </cell>
          <cell r="M73">
            <v>7</v>
          </cell>
          <cell r="N73">
            <v>0</v>
          </cell>
          <cell r="O73">
            <v>0</v>
          </cell>
          <cell r="P73">
            <v>0</v>
          </cell>
          <cell r="T73">
            <v>38996</v>
          </cell>
        </row>
        <row r="74">
          <cell r="B74" t="str">
            <v>DH.205.RT.01</v>
          </cell>
          <cell r="D74" t="str">
            <v>Relatório Técnico - Proposta Técnica Bombas</v>
          </cell>
          <cell r="E74" t="str">
            <v>8 dias</v>
          </cell>
          <cell r="F74">
            <v>38911.333333333336</v>
          </cell>
          <cell r="G74">
            <v>38987.333333333336</v>
          </cell>
          <cell r="H74" t="str">
            <v>NA</v>
          </cell>
          <cell r="I74">
            <v>38923.729166666664</v>
          </cell>
          <cell r="J74">
            <v>38996.729166666664</v>
          </cell>
          <cell r="K74" t="str">
            <v>NA</v>
          </cell>
          <cell r="L74">
            <v>0.31</v>
          </cell>
          <cell r="M74">
            <v>7</v>
          </cell>
          <cell r="N74">
            <v>0</v>
          </cell>
          <cell r="O74">
            <v>0</v>
          </cell>
          <cell r="P74">
            <v>0</v>
          </cell>
          <cell r="Q74" t="str">
            <v>42TI+45 dias</v>
          </cell>
          <cell r="S74" t="str">
            <v>EQUIPE TUB</v>
          </cell>
          <cell r="T74">
            <v>38996</v>
          </cell>
        </row>
        <row r="75">
          <cell r="D75" t="str">
            <v>Civil</v>
          </cell>
          <cell r="E75" t="str">
            <v>105 dias</v>
          </cell>
          <cell r="F75">
            <v>38845.333333333336</v>
          </cell>
          <cell r="G75">
            <v>38866.333333333336</v>
          </cell>
          <cell r="H75">
            <v>38866.333333333336</v>
          </cell>
          <cell r="I75">
            <v>38894.729166666664</v>
          </cell>
          <cell r="J75">
            <v>39022.729166666664</v>
          </cell>
          <cell r="K75" t="str">
            <v>NA</v>
          </cell>
          <cell r="L75">
            <v>1.26</v>
          </cell>
          <cell r="M75">
            <v>28.88</v>
          </cell>
          <cell r="N75">
            <v>5.88</v>
          </cell>
          <cell r="O75">
            <v>20.350000000000001</v>
          </cell>
          <cell r="P75">
            <v>20.350000000000001</v>
          </cell>
          <cell r="T75">
            <v>39022</v>
          </cell>
        </row>
        <row r="76">
          <cell r="B76" t="str">
            <v>DC.205.DD.01</v>
          </cell>
          <cell r="D76" t="str">
            <v>Desenho De Detalhamento - Transportadores</v>
          </cell>
          <cell r="E76" t="str">
            <v>18 dias</v>
          </cell>
          <cell r="F76">
            <v>38866.333333333336</v>
          </cell>
          <cell r="G76">
            <v>38995.333333333336</v>
          </cell>
          <cell r="H76" t="str">
            <v>NA</v>
          </cell>
          <cell r="I76">
            <v>38894.729166666664</v>
          </cell>
          <cell r="J76">
            <v>39022.729166666664</v>
          </cell>
          <cell r="K76" t="str">
            <v>NA</v>
          </cell>
          <cell r="L76">
            <v>0.61</v>
          </cell>
          <cell r="M76">
            <v>14</v>
          </cell>
          <cell r="N76">
            <v>0</v>
          </cell>
          <cell r="O76">
            <v>0</v>
          </cell>
          <cell r="P76">
            <v>0</v>
          </cell>
          <cell r="Q76" t="str">
            <v>32TI+45 dias</v>
          </cell>
          <cell r="S76" t="str">
            <v>EQUIPE CIV</v>
          </cell>
          <cell r="T76">
            <v>39022</v>
          </cell>
        </row>
        <row r="77">
          <cell r="B77" t="str">
            <v>DC.205.NS.01</v>
          </cell>
          <cell r="D77" t="str">
            <v>Notas De Serviço - Terraplenagem</v>
          </cell>
          <cell r="E77" t="str">
            <v>15 dias</v>
          </cell>
          <cell r="F77">
            <v>38845.333333333336</v>
          </cell>
          <cell r="G77">
            <v>38918.333333333336</v>
          </cell>
          <cell r="H77" t="str">
            <v>NA</v>
          </cell>
          <cell r="I77">
            <v>38862.729166666664</v>
          </cell>
          <cell r="J77">
            <v>38938.729166666664</v>
          </cell>
          <cell r="K77" t="str">
            <v>NA</v>
          </cell>
          <cell r="L77">
            <v>0.22</v>
          </cell>
          <cell r="M77">
            <v>5</v>
          </cell>
          <cell r="N77">
            <v>0</v>
          </cell>
          <cell r="O77">
            <v>0</v>
          </cell>
          <cell r="P77">
            <v>0</v>
          </cell>
          <cell r="Q77" t="str">
            <v>16;579II</v>
          </cell>
          <cell r="S77" t="str">
            <v>EQUIPE CIV</v>
          </cell>
          <cell r="T77">
            <v>38938</v>
          </cell>
        </row>
        <row r="78">
          <cell r="B78" t="str">
            <v>DC.205.ET.01</v>
          </cell>
          <cell r="D78" t="str">
            <v>Especificação Técnica - Terraplenagem</v>
          </cell>
          <cell r="E78" t="str">
            <v>10 dias</v>
          </cell>
          <cell r="F78">
            <v>38852.333333333336</v>
          </cell>
          <cell r="G78">
            <v>38866.333333333336</v>
          </cell>
          <cell r="H78">
            <v>38866.333333333336</v>
          </cell>
          <cell r="I78">
            <v>38866.729166666664</v>
          </cell>
          <cell r="J78">
            <v>38877.729166666664</v>
          </cell>
          <cell r="K78">
            <v>38877.729166666664</v>
          </cell>
          <cell r="L78">
            <v>0.26</v>
          </cell>
          <cell r="M78">
            <v>5.88</v>
          </cell>
          <cell r="N78">
            <v>5.88</v>
          </cell>
          <cell r="O78">
            <v>100</v>
          </cell>
          <cell r="P78">
            <v>100</v>
          </cell>
          <cell r="Q78" t="str">
            <v>16II</v>
          </cell>
          <cell r="S78" t="str">
            <v>EQUIPE CIV</v>
          </cell>
          <cell r="T78">
            <v>38877</v>
          </cell>
        </row>
        <row r="79">
          <cell r="B79" t="str">
            <v>DC.205.MC.01</v>
          </cell>
          <cell r="D79" t="str">
            <v>Memória De Cálculo - Drenagem Pluvial</v>
          </cell>
          <cell r="E79" t="str">
            <v>2 dias</v>
          </cell>
          <cell r="F79">
            <v>38866.333333333336</v>
          </cell>
          <cell r="G79">
            <v>38951.333333333336</v>
          </cell>
          <cell r="H79" t="str">
            <v>NA</v>
          </cell>
          <cell r="I79">
            <v>38868.729166666664</v>
          </cell>
          <cell r="J79">
            <v>38952.729166666664</v>
          </cell>
          <cell r="K79" t="str">
            <v>NA</v>
          </cell>
          <cell r="L79">
            <v>0.17</v>
          </cell>
          <cell r="M79">
            <v>4</v>
          </cell>
          <cell r="N79">
            <v>0</v>
          </cell>
          <cell r="O79">
            <v>0</v>
          </cell>
          <cell r="P79">
            <v>0</v>
          </cell>
          <cell r="Q79">
            <v>690</v>
          </cell>
          <cell r="S79" t="str">
            <v>EQUIPE CIV</v>
          </cell>
          <cell r="T79">
            <v>38952</v>
          </cell>
        </row>
        <row r="80">
          <cell r="D80" t="str">
            <v>Estrutura Metálica</v>
          </cell>
          <cell r="E80" t="str">
            <v>12 dias</v>
          </cell>
          <cell r="F80">
            <v>38903.333333333336</v>
          </cell>
          <cell r="G80">
            <v>38965.333333333336</v>
          </cell>
          <cell r="H80" t="str">
            <v>NA</v>
          </cell>
          <cell r="I80">
            <v>38922.729166666664</v>
          </cell>
          <cell r="J80">
            <v>38982.729166666664</v>
          </cell>
          <cell r="K80" t="str">
            <v>NA</v>
          </cell>
          <cell r="L80">
            <v>0.99</v>
          </cell>
          <cell r="M80">
            <v>22.75</v>
          </cell>
          <cell r="N80">
            <v>0</v>
          </cell>
          <cell r="O80">
            <v>0</v>
          </cell>
          <cell r="P80">
            <v>0</v>
          </cell>
          <cell r="T80">
            <v>38982</v>
          </cell>
        </row>
        <row r="81">
          <cell r="B81" t="str">
            <v>DD.205.DP.01</v>
          </cell>
          <cell r="D81" t="str">
            <v>Desenho De Projeto - Pipe Rack</v>
          </cell>
          <cell r="E81" t="str">
            <v>12 dias</v>
          </cell>
          <cell r="F81">
            <v>38903.333333333336</v>
          </cell>
          <cell r="G81">
            <v>38965.333333333336</v>
          </cell>
          <cell r="H81" t="str">
            <v>NA</v>
          </cell>
          <cell r="I81">
            <v>38919.729166666664</v>
          </cell>
          <cell r="J81">
            <v>38982.729166666664</v>
          </cell>
          <cell r="K81" t="str">
            <v>NA</v>
          </cell>
          <cell r="L81">
            <v>0.44</v>
          </cell>
          <cell r="M81">
            <v>10</v>
          </cell>
          <cell r="N81">
            <v>0</v>
          </cell>
          <cell r="O81">
            <v>0</v>
          </cell>
          <cell r="P81">
            <v>0</v>
          </cell>
          <cell r="Q81">
            <v>60</v>
          </cell>
          <cell r="R81" t="str">
            <v>80TT</v>
          </cell>
          <cell r="S81" t="str">
            <v>EQUIPE MET</v>
          </cell>
          <cell r="T81">
            <v>38982</v>
          </cell>
        </row>
        <row r="82">
          <cell r="B82" t="str">
            <v>DD.205.LM.01</v>
          </cell>
          <cell r="D82" t="str">
            <v>Lista De Materiais - Pipe Rack</v>
          </cell>
          <cell r="E82" t="str">
            <v>1 dia</v>
          </cell>
          <cell r="F82">
            <v>38919.333333333336</v>
          </cell>
          <cell r="G82">
            <v>38982.333333333336</v>
          </cell>
          <cell r="H82" t="str">
            <v>NA</v>
          </cell>
          <cell r="I82">
            <v>38922.729166666664</v>
          </cell>
          <cell r="J82">
            <v>38982.729166666664</v>
          </cell>
          <cell r="K82" t="str">
            <v>NA</v>
          </cell>
          <cell r="L82">
            <v>0.01</v>
          </cell>
          <cell r="M82">
            <v>0.25</v>
          </cell>
          <cell r="N82">
            <v>0</v>
          </cell>
          <cell r="O82">
            <v>0</v>
          </cell>
          <cell r="P82">
            <v>0</v>
          </cell>
          <cell r="Q82" t="str">
            <v>79TT</v>
          </cell>
          <cell r="S82" t="str">
            <v>EQUIPE MET</v>
          </cell>
          <cell r="T82">
            <v>38982</v>
          </cell>
        </row>
        <row r="83">
          <cell r="B83" t="str">
            <v>DD.205.MC.01</v>
          </cell>
          <cell r="D83" t="str">
            <v>Memória De Cálculo - Pipe Rack</v>
          </cell>
          <cell r="E83" t="str">
            <v>12 dias</v>
          </cell>
          <cell r="F83">
            <v>38903.333333333336</v>
          </cell>
          <cell r="G83">
            <v>38965.333333333336</v>
          </cell>
          <cell r="H83" t="str">
            <v>NA</v>
          </cell>
          <cell r="I83">
            <v>38919.729166666664</v>
          </cell>
          <cell r="J83">
            <v>38982.729166666664</v>
          </cell>
          <cell r="K83" t="str">
            <v>NA</v>
          </cell>
          <cell r="L83">
            <v>0.55000000000000004</v>
          </cell>
          <cell r="M83">
            <v>12.5</v>
          </cell>
          <cell r="N83">
            <v>0</v>
          </cell>
          <cell r="O83">
            <v>0</v>
          </cell>
          <cell r="P83">
            <v>0</v>
          </cell>
          <cell r="Q83">
            <v>60</v>
          </cell>
          <cell r="S83" t="str">
            <v>EQUIPE MET</v>
          </cell>
          <cell r="T83">
            <v>38982</v>
          </cell>
        </row>
        <row r="84">
          <cell r="D84" t="str">
            <v>Instrumentação</v>
          </cell>
          <cell r="E84" t="str">
            <v>24 dias</v>
          </cell>
          <cell r="F84">
            <v>38911.333333333336</v>
          </cell>
          <cell r="G84">
            <v>38975.333333333336</v>
          </cell>
          <cell r="H84" t="str">
            <v>NA</v>
          </cell>
          <cell r="I84">
            <v>38953.729166666664</v>
          </cell>
          <cell r="J84">
            <v>39010.729166666664</v>
          </cell>
          <cell r="K84" t="str">
            <v>NA</v>
          </cell>
          <cell r="L84">
            <v>2.95</v>
          </cell>
          <cell r="M84">
            <v>67.5</v>
          </cell>
          <cell r="N84">
            <v>0</v>
          </cell>
          <cell r="O84">
            <v>0</v>
          </cell>
          <cell r="P84">
            <v>0</v>
          </cell>
          <cell r="R84" t="str">
            <v>113;134;157;230;269;417</v>
          </cell>
          <cell r="T84">
            <v>39010</v>
          </cell>
        </row>
        <row r="85">
          <cell r="B85" t="str">
            <v>DT.205.DE.01</v>
          </cell>
          <cell r="D85" t="str">
            <v>Detalhes Típicos</v>
          </cell>
          <cell r="E85" t="str">
            <v>6 dias</v>
          </cell>
          <cell r="F85">
            <v>38911.333333333336</v>
          </cell>
          <cell r="G85">
            <v>38975.333333333336</v>
          </cell>
          <cell r="H85" t="str">
            <v>NA</v>
          </cell>
          <cell r="I85">
            <v>38923.729166666664</v>
          </cell>
          <cell r="J85">
            <v>38982.729166666664</v>
          </cell>
          <cell r="K85" t="str">
            <v>NA</v>
          </cell>
          <cell r="L85">
            <v>0.22</v>
          </cell>
          <cell r="M85">
            <v>5</v>
          </cell>
          <cell r="N85">
            <v>0</v>
          </cell>
          <cell r="O85">
            <v>0</v>
          </cell>
          <cell r="P85">
            <v>0</v>
          </cell>
          <cell r="Q85" t="str">
            <v>63;65;68</v>
          </cell>
          <cell r="R85" t="str">
            <v>84II</v>
          </cell>
          <cell r="S85" t="str">
            <v>EQUIPE TSA</v>
          </cell>
          <cell r="T85">
            <v>38982</v>
          </cell>
        </row>
        <row r="86">
          <cell r="B86" t="str">
            <v>DT.205.DI.01</v>
          </cell>
          <cell r="D86" t="str">
            <v>Diagrama De Interligação</v>
          </cell>
          <cell r="E86" t="str">
            <v>24 dias</v>
          </cell>
          <cell r="F86">
            <v>38926.333333333336</v>
          </cell>
          <cell r="G86">
            <v>38975.333333333336</v>
          </cell>
          <cell r="H86" t="str">
            <v>NA</v>
          </cell>
          <cell r="I86">
            <v>38953.729166666664</v>
          </cell>
          <cell r="J86">
            <v>39010.729166666664</v>
          </cell>
          <cell r="K86" t="str">
            <v>NA</v>
          </cell>
          <cell r="L86">
            <v>2.73</v>
          </cell>
          <cell r="M86">
            <v>62.5</v>
          </cell>
          <cell r="N86">
            <v>0</v>
          </cell>
          <cell r="O86">
            <v>0</v>
          </cell>
          <cell r="P86">
            <v>0</v>
          </cell>
          <cell r="Q86" t="str">
            <v>83II</v>
          </cell>
          <cell r="S86" t="str">
            <v>EQUIPE TSA[200%]</v>
          </cell>
          <cell r="T86">
            <v>39010</v>
          </cell>
        </row>
        <row r="87">
          <cell r="B87" t="str">
            <v>1.1.2</v>
          </cell>
          <cell r="C87" t="str">
            <v>210A</v>
          </cell>
          <cell r="D87" t="str">
            <v>Britagem Primária (1A)</v>
          </cell>
          <cell r="E87" t="str">
            <v>107 dias</v>
          </cell>
          <cell r="F87">
            <v>38811.333333333336</v>
          </cell>
          <cell r="G87">
            <v>38862.333333333336</v>
          </cell>
          <cell r="H87">
            <v>38862.333333333336</v>
          </cell>
          <cell r="I87">
            <v>38945.729166666664</v>
          </cell>
          <cell r="J87">
            <v>39022.729166666664</v>
          </cell>
          <cell r="K87" t="str">
            <v>NA</v>
          </cell>
          <cell r="L87">
            <v>5.62</v>
          </cell>
          <cell r="M87">
            <v>128.5</v>
          </cell>
          <cell r="N87">
            <v>21.66</v>
          </cell>
          <cell r="O87">
            <v>16.86</v>
          </cell>
          <cell r="P87">
            <v>16.86</v>
          </cell>
          <cell r="T87">
            <v>39022</v>
          </cell>
        </row>
        <row r="88">
          <cell r="D88" t="str">
            <v>Projeto Básico</v>
          </cell>
          <cell r="E88" t="str">
            <v>59 dias</v>
          </cell>
          <cell r="F88">
            <v>38811.333333333336</v>
          </cell>
          <cell r="G88">
            <v>38862.333333333336</v>
          </cell>
          <cell r="H88">
            <v>38862.333333333336</v>
          </cell>
          <cell r="I88">
            <v>38845.729166666664</v>
          </cell>
          <cell r="J88">
            <v>38950.729166666664</v>
          </cell>
          <cell r="K88" t="str">
            <v>NA</v>
          </cell>
          <cell r="L88">
            <v>1.54</v>
          </cell>
          <cell r="M88">
            <v>35.130000000000003</v>
          </cell>
          <cell r="N88">
            <v>21.66</v>
          </cell>
          <cell r="O88">
            <v>61.67</v>
          </cell>
          <cell r="P88">
            <v>61.67</v>
          </cell>
          <cell r="T88">
            <v>38950</v>
          </cell>
        </row>
        <row r="89">
          <cell r="D89" t="str">
            <v>Processo</v>
          </cell>
          <cell r="E89" t="str">
            <v>14 dias</v>
          </cell>
          <cell r="F89">
            <v>38824.333333333336</v>
          </cell>
          <cell r="G89">
            <v>38908.333333333336</v>
          </cell>
          <cell r="H89">
            <v>38908.333333333336</v>
          </cell>
          <cell r="I89">
            <v>38825.729166666664</v>
          </cell>
          <cell r="J89">
            <v>38925.729166666664</v>
          </cell>
          <cell r="K89" t="str">
            <v>NA</v>
          </cell>
          <cell r="L89">
            <v>0.17</v>
          </cell>
          <cell r="M89">
            <v>3.88</v>
          </cell>
          <cell r="N89">
            <v>3.69</v>
          </cell>
          <cell r="O89">
            <v>95.16</v>
          </cell>
          <cell r="P89">
            <v>95.16</v>
          </cell>
          <cell r="T89">
            <v>38925</v>
          </cell>
        </row>
        <row r="90">
          <cell r="B90" t="str">
            <v>BP.210.FD.01</v>
          </cell>
          <cell r="D90" t="str">
            <v>Folha De Dados - Britador e Peneira</v>
          </cell>
          <cell r="E90" t="str">
            <v>14 dias</v>
          </cell>
          <cell r="F90">
            <v>38824.333333333336</v>
          </cell>
          <cell r="G90">
            <v>38908.333333333336</v>
          </cell>
          <cell r="H90">
            <v>38908.333333333336</v>
          </cell>
          <cell r="I90">
            <v>38825.729166666664</v>
          </cell>
          <cell r="J90">
            <v>38925.729166666664</v>
          </cell>
          <cell r="K90" t="str">
            <v>NA</v>
          </cell>
          <cell r="L90">
            <v>0.17</v>
          </cell>
          <cell r="M90">
            <v>3.88</v>
          </cell>
          <cell r="N90">
            <v>3.69</v>
          </cell>
          <cell r="O90">
            <v>95.16</v>
          </cell>
          <cell r="P90">
            <v>95.16</v>
          </cell>
          <cell r="Q90" t="str">
            <v>14II</v>
          </cell>
          <cell r="R90" t="str">
            <v>365II</v>
          </cell>
          <cell r="S90" t="str">
            <v>EQUIPE PRO[71%]</v>
          </cell>
          <cell r="T90">
            <v>38925</v>
          </cell>
        </row>
        <row r="91">
          <cell r="D91" t="str">
            <v>Mecânica</v>
          </cell>
          <cell r="E91" t="str">
            <v>59 dias</v>
          </cell>
          <cell r="F91">
            <v>38811.333333333336</v>
          </cell>
          <cell r="G91">
            <v>38862.333333333336</v>
          </cell>
          <cell r="H91">
            <v>38862.333333333336</v>
          </cell>
          <cell r="I91">
            <v>38845.729166666664</v>
          </cell>
          <cell r="J91">
            <v>38950.729166666664</v>
          </cell>
          <cell r="K91" t="str">
            <v>NA</v>
          </cell>
          <cell r="L91">
            <v>0.93</v>
          </cell>
          <cell r="M91">
            <v>21.38</v>
          </cell>
          <cell r="N91">
            <v>17.079999999999998</v>
          </cell>
          <cell r="O91">
            <v>79.88</v>
          </cell>
          <cell r="P91">
            <v>79.88</v>
          </cell>
          <cell r="T91">
            <v>38950</v>
          </cell>
        </row>
        <row r="92">
          <cell r="B92" t="str">
            <v>BB.210.DB.01</v>
          </cell>
          <cell r="D92" t="str">
            <v>Desenho Básico - Britagem e Pereiramento Primário</v>
          </cell>
          <cell r="E92" t="str">
            <v>44 dias</v>
          </cell>
          <cell r="F92">
            <v>38811.333333333336</v>
          </cell>
          <cell r="G92">
            <v>38862.333333333336</v>
          </cell>
          <cell r="H92">
            <v>38862.333333333336</v>
          </cell>
          <cell r="I92">
            <v>38827.729166666664</v>
          </cell>
          <cell r="J92">
            <v>38925.729166666664</v>
          </cell>
          <cell r="K92" t="str">
            <v>NA</v>
          </cell>
          <cell r="L92">
            <v>0.26</v>
          </cell>
          <cell r="M92">
            <v>6</v>
          </cell>
          <cell r="N92">
            <v>5.4</v>
          </cell>
          <cell r="O92">
            <v>90</v>
          </cell>
          <cell r="P92">
            <v>90</v>
          </cell>
          <cell r="Q92" t="str">
            <v>14II</v>
          </cell>
          <cell r="R92" t="str">
            <v>96;93;119II;161II;91;92;99;102;308II;367</v>
          </cell>
          <cell r="S92" t="str">
            <v>EQUIPE MEC[50%]</v>
          </cell>
          <cell r="T92">
            <v>38925</v>
          </cell>
        </row>
        <row r="93">
          <cell r="B93" t="str">
            <v>BB.210.DB.02</v>
          </cell>
          <cell r="D93" t="str">
            <v>Desenho Básico - Transports. e Alimentadores</v>
          </cell>
          <cell r="E93" t="str">
            <v>10 dias</v>
          </cell>
          <cell r="F93">
            <v>38811.333333333336</v>
          </cell>
          <cell r="G93">
            <v>38926.333333333336</v>
          </cell>
          <cell r="H93">
            <v>38926.333333333336</v>
          </cell>
          <cell r="I93">
            <v>38827.729166666664</v>
          </cell>
          <cell r="J93">
            <v>38939.729166666664</v>
          </cell>
          <cell r="K93" t="str">
            <v>NA</v>
          </cell>
          <cell r="L93">
            <v>0.22</v>
          </cell>
          <cell r="M93">
            <v>5</v>
          </cell>
          <cell r="N93">
            <v>2.1</v>
          </cell>
          <cell r="O93">
            <v>42</v>
          </cell>
          <cell r="P93">
            <v>42</v>
          </cell>
          <cell r="Q93">
            <v>90</v>
          </cell>
          <cell r="R93" t="str">
            <v>92;94II;99;120</v>
          </cell>
          <cell r="S93" t="str">
            <v>EQUIPE MEC</v>
          </cell>
          <cell r="T93">
            <v>38939</v>
          </cell>
        </row>
        <row r="94">
          <cell r="D94" t="str">
            <v>APROVAÇÃO EBX</v>
          </cell>
          <cell r="E94" t="str">
            <v>5 dias</v>
          </cell>
          <cell r="F94">
            <v>38827.333333333336</v>
          </cell>
          <cell r="G94">
            <v>38940.333333333336</v>
          </cell>
          <cell r="H94" t="str">
            <v>NA</v>
          </cell>
          <cell r="I94">
            <v>38835.729166666664</v>
          </cell>
          <cell r="J94">
            <v>38950.729166666664</v>
          </cell>
          <cell r="K94" t="str">
            <v>NA</v>
          </cell>
          <cell r="L94">
            <v>0</v>
          </cell>
          <cell r="M94">
            <v>0</v>
          </cell>
          <cell r="N94">
            <v>0</v>
          </cell>
          <cell r="O94">
            <v>0</v>
          </cell>
          <cell r="P94" t="str">
            <v>#ERRO</v>
          </cell>
          <cell r="Q94" t="str">
            <v>90;91</v>
          </cell>
          <cell r="T94">
            <v>38950</v>
          </cell>
        </row>
        <row r="95">
          <cell r="B95" t="str">
            <v>BB.210.ET.01</v>
          </cell>
          <cell r="D95" t="str">
            <v>Especif. Técnica - Grelhas Vibratórios/ Aliment. Placas</v>
          </cell>
          <cell r="E95" t="str">
            <v>10 dias</v>
          </cell>
          <cell r="F95">
            <v>38827.333333333336</v>
          </cell>
          <cell r="G95">
            <v>38926.333333333336</v>
          </cell>
          <cell r="H95">
            <v>38926.333333333336</v>
          </cell>
          <cell r="I95">
            <v>38845.729166666664</v>
          </cell>
          <cell r="J95">
            <v>38939.729166666664</v>
          </cell>
          <cell r="K95" t="str">
            <v>NA</v>
          </cell>
          <cell r="L95">
            <v>0.21</v>
          </cell>
          <cell r="M95">
            <v>4.88</v>
          </cell>
          <cell r="N95">
            <v>4.63</v>
          </cell>
          <cell r="O95">
            <v>94.87</v>
          </cell>
          <cell r="P95">
            <v>94.87</v>
          </cell>
          <cell r="Q95">
            <v>90</v>
          </cell>
          <cell r="S95" t="str">
            <v>EQUIPE MEC</v>
          </cell>
          <cell r="T95">
            <v>38939</v>
          </cell>
        </row>
        <row r="96">
          <cell r="B96" t="str">
            <v>BB.210.FD.01</v>
          </cell>
          <cell r="D96" t="str">
            <v>Folha De Dados - Transportadores</v>
          </cell>
          <cell r="E96" t="str">
            <v>10 dias</v>
          </cell>
          <cell r="F96">
            <v>38840.333333333336</v>
          </cell>
          <cell r="G96">
            <v>38926.333333333336</v>
          </cell>
          <cell r="H96">
            <v>38926.333333333336</v>
          </cell>
          <cell r="I96">
            <v>38845.729166666664</v>
          </cell>
          <cell r="J96">
            <v>38939.729166666664</v>
          </cell>
          <cell r="K96" t="str">
            <v>NA</v>
          </cell>
          <cell r="L96">
            <v>0.24</v>
          </cell>
          <cell r="M96">
            <v>5.5</v>
          </cell>
          <cell r="N96">
            <v>4.95</v>
          </cell>
          <cell r="O96">
            <v>90</v>
          </cell>
          <cell r="P96">
            <v>90</v>
          </cell>
          <cell r="Q96" t="str">
            <v>91II</v>
          </cell>
          <cell r="S96" t="str">
            <v>EQUIPE MEC[30%]</v>
          </cell>
          <cell r="T96">
            <v>38939</v>
          </cell>
        </row>
        <row r="97">
          <cell r="D97" t="str">
            <v>Estrutura Metálica</v>
          </cell>
          <cell r="E97" t="str">
            <v>10 dias</v>
          </cell>
          <cell r="F97">
            <v>38827.333333333336</v>
          </cell>
          <cell r="G97">
            <v>38926.333333333336</v>
          </cell>
          <cell r="H97">
            <v>38926.333333333336</v>
          </cell>
          <cell r="I97">
            <v>38845.729166666664</v>
          </cell>
          <cell r="J97">
            <v>38939.729166666664</v>
          </cell>
          <cell r="K97" t="str">
            <v>NA</v>
          </cell>
          <cell r="L97">
            <v>0.43</v>
          </cell>
          <cell r="M97">
            <v>9.8800000000000008</v>
          </cell>
          <cell r="N97">
            <v>0.9</v>
          </cell>
          <cell r="O97">
            <v>9.11</v>
          </cell>
          <cell r="P97">
            <v>9.11</v>
          </cell>
          <cell r="T97">
            <v>38939</v>
          </cell>
        </row>
        <row r="98">
          <cell r="B98" t="str">
            <v>BD.210.MC.01</v>
          </cell>
          <cell r="D98" t="str">
            <v>Memória De Cálculo</v>
          </cell>
          <cell r="E98" t="str">
            <v>10 dias</v>
          </cell>
          <cell r="F98">
            <v>38827.333333333336</v>
          </cell>
          <cell r="G98">
            <v>38926.333333333336</v>
          </cell>
          <cell r="H98">
            <v>38926.333333333336</v>
          </cell>
          <cell r="I98">
            <v>38845.729166666664</v>
          </cell>
          <cell r="J98">
            <v>38939.729166666664</v>
          </cell>
          <cell r="K98" t="str">
            <v>NA</v>
          </cell>
          <cell r="L98">
            <v>0.43</v>
          </cell>
          <cell r="M98">
            <v>9.8800000000000008</v>
          </cell>
          <cell r="N98">
            <v>0.9</v>
          </cell>
          <cell r="O98">
            <v>9.11</v>
          </cell>
          <cell r="P98">
            <v>9.11</v>
          </cell>
          <cell r="Q98">
            <v>90</v>
          </cell>
          <cell r="R98" t="str">
            <v>102II</v>
          </cell>
          <cell r="S98" t="str">
            <v>EQUIPE MET</v>
          </cell>
          <cell r="T98">
            <v>38939</v>
          </cell>
        </row>
        <row r="99">
          <cell r="D99" t="str">
            <v>Projeto Detalhado</v>
          </cell>
          <cell r="E99" t="str">
            <v>63 dias</v>
          </cell>
          <cell r="F99">
            <v>38870.333333333336</v>
          </cell>
          <cell r="G99">
            <v>38926.333333333336</v>
          </cell>
          <cell r="H99" t="str">
            <v>NA</v>
          </cell>
          <cell r="I99">
            <v>38945.729166666664</v>
          </cell>
          <cell r="J99">
            <v>39022.729166666664</v>
          </cell>
          <cell r="K99" t="str">
            <v>NA</v>
          </cell>
          <cell r="L99">
            <v>4.08</v>
          </cell>
          <cell r="M99">
            <v>93.38</v>
          </cell>
          <cell r="N99">
            <v>0</v>
          </cell>
          <cell r="O99">
            <v>0</v>
          </cell>
          <cell r="P99">
            <v>0</v>
          </cell>
          <cell r="T99">
            <v>39022</v>
          </cell>
        </row>
        <row r="100">
          <cell r="D100" t="str">
            <v>Mecânica</v>
          </cell>
          <cell r="E100" t="str">
            <v>9 dias</v>
          </cell>
          <cell r="F100">
            <v>38870.333333333336</v>
          </cell>
          <cell r="G100">
            <v>38951.333333333336</v>
          </cell>
          <cell r="H100" t="str">
            <v>NA</v>
          </cell>
          <cell r="I100">
            <v>38897.729166666664</v>
          </cell>
          <cell r="J100">
            <v>38961.729166666664</v>
          </cell>
          <cell r="K100" t="str">
            <v>NA</v>
          </cell>
          <cell r="L100">
            <v>0.96</v>
          </cell>
          <cell r="M100">
            <v>22</v>
          </cell>
          <cell r="N100">
            <v>0</v>
          </cell>
          <cell r="O100">
            <v>0</v>
          </cell>
          <cell r="P100">
            <v>0</v>
          </cell>
          <cell r="T100">
            <v>38961</v>
          </cell>
        </row>
        <row r="101">
          <cell r="B101" t="str">
            <v>DB.210.DD.02</v>
          </cell>
          <cell r="D101" t="str">
            <v>Desenho De Detalhamento - Caldeiraria/ Chute</v>
          </cell>
          <cell r="E101" t="str">
            <v>8 dias</v>
          </cell>
          <cell r="F101">
            <v>38870.333333333336</v>
          </cell>
          <cell r="G101">
            <v>38952.333333333336</v>
          </cell>
          <cell r="H101" t="str">
            <v>NA</v>
          </cell>
          <cell r="I101">
            <v>38882.729166666664</v>
          </cell>
          <cell r="J101">
            <v>38961.729166666664</v>
          </cell>
          <cell r="K101" t="str">
            <v>NA</v>
          </cell>
          <cell r="L101">
            <v>0.74</v>
          </cell>
          <cell r="M101">
            <v>17</v>
          </cell>
          <cell r="N101">
            <v>0</v>
          </cell>
          <cell r="O101">
            <v>0</v>
          </cell>
          <cell r="P101">
            <v>0</v>
          </cell>
          <cell r="Q101" t="str">
            <v>30TI+10 dias;90;91</v>
          </cell>
          <cell r="R101" t="str">
            <v>100TT</v>
          </cell>
          <cell r="S101" t="str">
            <v>EQUIPE MEC</v>
          </cell>
          <cell r="T101">
            <v>38961</v>
          </cell>
        </row>
        <row r="102">
          <cell r="B102" t="str">
            <v>DB.210.DM.02</v>
          </cell>
          <cell r="D102" t="str">
            <v>Diagrama De Montagem - Moega e Britagem</v>
          </cell>
          <cell r="E102" t="str">
            <v>9 dias</v>
          </cell>
          <cell r="F102">
            <v>38882.333333333336</v>
          </cell>
          <cell r="G102">
            <v>38951.333333333336</v>
          </cell>
          <cell r="H102" t="str">
            <v>NA</v>
          </cell>
          <cell r="I102">
            <v>38897.729166666664</v>
          </cell>
          <cell r="J102">
            <v>38961.729166666664</v>
          </cell>
          <cell r="K102" t="str">
            <v>NA</v>
          </cell>
          <cell r="L102">
            <v>0.22</v>
          </cell>
          <cell r="M102">
            <v>5</v>
          </cell>
          <cell r="N102">
            <v>0</v>
          </cell>
          <cell r="O102">
            <v>0</v>
          </cell>
          <cell r="P102">
            <v>0</v>
          </cell>
          <cell r="Q102" t="str">
            <v>99TT</v>
          </cell>
          <cell r="R102">
            <v>104</v>
          </cell>
          <cell r="S102" t="str">
            <v>EQUIPE MEC</v>
          </cell>
          <cell r="T102">
            <v>38961</v>
          </cell>
        </row>
        <row r="103">
          <cell r="D103" t="str">
            <v>Civil</v>
          </cell>
          <cell r="E103" t="str">
            <v>19 dias</v>
          </cell>
          <cell r="F103">
            <v>38870.333333333336</v>
          </cell>
          <cell r="G103">
            <v>38926.333333333336</v>
          </cell>
          <cell r="H103" t="str">
            <v>NA</v>
          </cell>
          <cell r="I103">
            <v>38901.729166666664</v>
          </cell>
          <cell r="J103">
            <v>38954.729166666664</v>
          </cell>
          <cell r="K103" t="str">
            <v>NA</v>
          </cell>
          <cell r="L103">
            <v>0.79</v>
          </cell>
          <cell r="M103">
            <v>18</v>
          </cell>
          <cell r="N103">
            <v>0</v>
          </cell>
          <cell r="O103">
            <v>0</v>
          </cell>
          <cell r="P103">
            <v>0</v>
          </cell>
          <cell r="T103">
            <v>38954</v>
          </cell>
        </row>
        <row r="104">
          <cell r="B104" t="str">
            <v>DC.210.DD.01</v>
          </cell>
          <cell r="D104" t="str">
            <v>Desenho De Detalhamento - Moega e Britagem</v>
          </cell>
          <cell r="E104" t="str">
            <v>19 dias</v>
          </cell>
          <cell r="F104">
            <v>38870.333333333336</v>
          </cell>
          <cell r="G104">
            <v>38926.333333333336</v>
          </cell>
          <cell r="H104" t="str">
            <v>NA</v>
          </cell>
          <cell r="I104">
            <v>38901.729166666664</v>
          </cell>
          <cell r="J104">
            <v>38954.729166666664</v>
          </cell>
          <cell r="K104" t="str">
            <v>NA</v>
          </cell>
          <cell r="L104">
            <v>0.79</v>
          </cell>
          <cell r="M104">
            <v>18</v>
          </cell>
          <cell r="N104">
            <v>0</v>
          </cell>
          <cell r="O104">
            <v>0</v>
          </cell>
          <cell r="P104">
            <v>0</v>
          </cell>
          <cell r="Q104" t="str">
            <v>90;96II</v>
          </cell>
          <cell r="R104">
            <v>109</v>
          </cell>
          <cell r="S104" t="str">
            <v>EQUIPE CIV</v>
          </cell>
          <cell r="T104">
            <v>38954</v>
          </cell>
        </row>
        <row r="105">
          <cell r="D105" t="str">
            <v>Estrutura Metálica</v>
          </cell>
          <cell r="E105" t="str">
            <v>17 dias</v>
          </cell>
          <cell r="F105">
            <v>38897.333333333336</v>
          </cell>
          <cell r="G105">
            <v>38964.333333333336</v>
          </cell>
          <cell r="H105" t="str">
            <v>NA</v>
          </cell>
          <cell r="I105">
            <v>38936.729166666664</v>
          </cell>
          <cell r="J105">
            <v>38988.729166666664</v>
          </cell>
          <cell r="K105" t="str">
            <v>NA</v>
          </cell>
          <cell r="L105">
            <v>1.67</v>
          </cell>
          <cell r="M105">
            <v>38.25</v>
          </cell>
          <cell r="N105">
            <v>0</v>
          </cell>
          <cell r="O105">
            <v>0</v>
          </cell>
          <cell r="P105">
            <v>0</v>
          </cell>
          <cell r="T105">
            <v>38988</v>
          </cell>
        </row>
        <row r="106">
          <cell r="B106" t="str">
            <v>DD.210.DP.01</v>
          </cell>
          <cell r="D106" t="str">
            <v>Desenho De Projeto - Moega e Britagem</v>
          </cell>
          <cell r="E106" t="str">
            <v>10 dias</v>
          </cell>
          <cell r="F106">
            <v>38897.333333333336</v>
          </cell>
          <cell r="G106">
            <v>38964.333333333336</v>
          </cell>
          <cell r="H106" t="str">
            <v>NA</v>
          </cell>
          <cell r="I106">
            <v>38911.729166666664</v>
          </cell>
          <cell r="J106">
            <v>38979.729166666664</v>
          </cell>
          <cell r="K106" t="str">
            <v>NA</v>
          </cell>
          <cell r="L106">
            <v>0.48</v>
          </cell>
          <cell r="M106">
            <v>11</v>
          </cell>
          <cell r="N106">
            <v>0</v>
          </cell>
          <cell r="O106">
            <v>0</v>
          </cell>
          <cell r="P106">
            <v>0</v>
          </cell>
          <cell r="Q106">
            <v>100</v>
          </cell>
          <cell r="R106" t="str">
            <v>105;106II</v>
          </cell>
          <cell r="S106" t="str">
            <v>EQUIPE MET</v>
          </cell>
          <cell r="T106">
            <v>38979</v>
          </cell>
        </row>
        <row r="107">
          <cell r="B107" t="str">
            <v>DD.210.LM.01</v>
          </cell>
          <cell r="D107" t="str">
            <v>Lista De Materiais - Moega e Britagem</v>
          </cell>
          <cell r="E107" t="str">
            <v>2 dias</v>
          </cell>
          <cell r="F107">
            <v>38911.333333333336</v>
          </cell>
          <cell r="G107">
            <v>38980.333333333336</v>
          </cell>
          <cell r="H107" t="str">
            <v>NA</v>
          </cell>
          <cell r="I107">
            <v>38915.729166666664</v>
          </cell>
          <cell r="J107">
            <v>38981.729166666664</v>
          </cell>
          <cell r="K107" t="str">
            <v>NA</v>
          </cell>
          <cell r="L107">
            <v>0.03</v>
          </cell>
          <cell r="M107">
            <v>0.75</v>
          </cell>
          <cell r="N107">
            <v>0</v>
          </cell>
          <cell r="O107">
            <v>0</v>
          </cell>
          <cell r="P107">
            <v>0</v>
          </cell>
          <cell r="Q107">
            <v>104</v>
          </cell>
          <cell r="S107" t="str">
            <v>EQUIPE MET</v>
          </cell>
          <cell r="T107">
            <v>38981</v>
          </cell>
        </row>
        <row r="108">
          <cell r="B108" t="str">
            <v>DD.210.MC.01</v>
          </cell>
          <cell r="D108" t="str">
            <v>Memória De Cálculo - Moega e Britagem</v>
          </cell>
          <cell r="E108" t="str">
            <v>17 dias</v>
          </cell>
          <cell r="F108">
            <v>38911.333333333336</v>
          </cell>
          <cell r="G108">
            <v>38964.333333333336</v>
          </cell>
          <cell r="H108" t="str">
            <v>NA</v>
          </cell>
          <cell r="I108">
            <v>38936.729166666664</v>
          </cell>
          <cell r="J108">
            <v>38988.729166666664</v>
          </cell>
          <cell r="K108" t="str">
            <v>NA</v>
          </cell>
          <cell r="L108">
            <v>1.1599999999999999</v>
          </cell>
          <cell r="M108">
            <v>26.5</v>
          </cell>
          <cell r="N108">
            <v>0</v>
          </cell>
          <cell r="O108">
            <v>0</v>
          </cell>
          <cell r="P108">
            <v>0</v>
          </cell>
          <cell r="Q108" t="str">
            <v>104II</v>
          </cell>
          <cell r="S108" t="str">
            <v>EQUIPE MET</v>
          </cell>
          <cell r="T108">
            <v>38988</v>
          </cell>
        </row>
        <row r="109">
          <cell r="D109" t="str">
            <v>Elétrica</v>
          </cell>
          <cell r="E109" t="str">
            <v>30 dias</v>
          </cell>
          <cell r="F109">
            <v>38901.333333333336</v>
          </cell>
          <cell r="G109">
            <v>38957.333333333336</v>
          </cell>
          <cell r="H109" t="str">
            <v>NA</v>
          </cell>
          <cell r="I109">
            <v>38945.729166666664</v>
          </cell>
          <cell r="J109">
            <v>39000.729166666664</v>
          </cell>
          <cell r="K109" t="str">
            <v>NA</v>
          </cell>
          <cell r="L109">
            <v>0.56999999999999995</v>
          </cell>
          <cell r="M109">
            <v>13.13</v>
          </cell>
          <cell r="N109">
            <v>0</v>
          </cell>
          <cell r="O109">
            <v>0</v>
          </cell>
          <cell r="P109">
            <v>0</v>
          </cell>
          <cell r="T109">
            <v>39000</v>
          </cell>
        </row>
        <row r="110">
          <cell r="D110" t="str">
            <v>Desenho De Detalhamento</v>
          </cell>
          <cell r="E110" t="str">
            <v>22 dias</v>
          </cell>
          <cell r="F110">
            <v>38901.333333333336</v>
          </cell>
          <cell r="G110">
            <v>38957.333333333336</v>
          </cell>
          <cell r="H110" t="str">
            <v>NA</v>
          </cell>
          <cell r="I110">
            <v>38945.729166666664</v>
          </cell>
          <cell r="J110">
            <v>38988.729166666664</v>
          </cell>
          <cell r="K110" t="str">
            <v>NA</v>
          </cell>
          <cell r="L110">
            <v>0.44</v>
          </cell>
          <cell r="M110">
            <v>10</v>
          </cell>
          <cell r="N110">
            <v>0</v>
          </cell>
          <cell r="O110">
            <v>0</v>
          </cell>
          <cell r="P110">
            <v>0</v>
          </cell>
          <cell r="R110">
            <v>111</v>
          </cell>
          <cell r="T110">
            <v>38988</v>
          </cell>
        </row>
        <row r="111">
          <cell r="B111" t="str">
            <v>DE.210.DD.01</v>
          </cell>
          <cell r="D111" t="str">
            <v>Disposição De Força, Controle e Aterramento</v>
          </cell>
          <cell r="E111" t="str">
            <v>11 dias</v>
          </cell>
          <cell r="F111">
            <v>38901.333333333336</v>
          </cell>
          <cell r="G111">
            <v>38957.333333333336</v>
          </cell>
          <cell r="H111" t="str">
            <v>NA</v>
          </cell>
          <cell r="I111">
            <v>38916.729166666664</v>
          </cell>
          <cell r="J111">
            <v>38973.729166666664</v>
          </cell>
          <cell r="K111" t="str">
            <v>NA</v>
          </cell>
          <cell r="L111">
            <v>0.22</v>
          </cell>
          <cell r="M111">
            <v>5</v>
          </cell>
          <cell r="N111">
            <v>0</v>
          </cell>
          <cell r="O111">
            <v>0</v>
          </cell>
          <cell r="P111">
            <v>0</v>
          </cell>
          <cell r="Q111">
            <v>102</v>
          </cell>
          <cell r="R111">
            <v>110</v>
          </cell>
          <cell r="S111" t="str">
            <v>EQUIPE ELE</v>
          </cell>
          <cell r="T111">
            <v>38973</v>
          </cell>
        </row>
        <row r="112">
          <cell r="B112" t="str">
            <v>DE.210.DD.02</v>
          </cell>
          <cell r="D112" t="str">
            <v>Iluminação</v>
          </cell>
          <cell r="E112" t="str">
            <v>11 dias</v>
          </cell>
          <cell r="F112">
            <v>38915.333333333336</v>
          </cell>
          <cell r="G112">
            <v>38974.333333333336</v>
          </cell>
          <cell r="H112" t="str">
            <v>NA</v>
          </cell>
          <cell r="I112">
            <v>38930.729166666664</v>
          </cell>
          <cell r="J112">
            <v>38988.729166666664</v>
          </cell>
          <cell r="K112" t="str">
            <v>NA</v>
          </cell>
          <cell r="L112">
            <v>0.22</v>
          </cell>
          <cell r="M112">
            <v>5</v>
          </cell>
          <cell r="N112">
            <v>0</v>
          </cell>
          <cell r="O112">
            <v>0</v>
          </cell>
          <cell r="P112">
            <v>0</v>
          </cell>
          <cell r="Q112">
            <v>109</v>
          </cell>
          <cell r="S112" t="str">
            <v>EQUIPE ELE</v>
          </cell>
          <cell r="T112">
            <v>38988</v>
          </cell>
        </row>
        <row r="113">
          <cell r="B113" t="str">
            <v>DE.210.LC.01</v>
          </cell>
          <cell r="D113" t="str">
            <v>Lista De Linhas/ Cabos</v>
          </cell>
          <cell r="E113" t="str">
            <v>8 dias</v>
          </cell>
          <cell r="F113">
            <v>38931.333333333336</v>
          </cell>
          <cell r="G113">
            <v>38989.333333333336</v>
          </cell>
          <cell r="H113" t="str">
            <v>NA</v>
          </cell>
          <cell r="I113">
            <v>38945.729166666664</v>
          </cell>
          <cell r="J113">
            <v>39000.729166666664</v>
          </cell>
          <cell r="K113" t="str">
            <v>NA</v>
          </cell>
          <cell r="L113">
            <v>0.14000000000000001</v>
          </cell>
          <cell r="M113">
            <v>3.13</v>
          </cell>
          <cell r="N113">
            <v>0</v>
          </cell>
          <cell r="O113">
            <v>0</v>
          </cell>
          <cell r="P113">
            <v>0</v>
          </cell>
          <cell r="Q113">
            <v>108</v>
          </cell>
          <cell r="S113" t="str">
            <v>EQUIPE ELE</v>
          </cell>
          <cell r="T113">
            <v>39000</v>
          </cell>
        </row>
        <row r="114">
          <cell r="D114" t="str">
            <v>Instrumentação</v>
          </cell>
          <cell r="E114" t="str">
            <v>8 dias</v>
          </cell>
          <cell r="F114">
            <v>38931.333333333336</v>
          </cell>
          <cell r="G114">
            <v>39013.333333333336</v>
          </cell>
          <cell r="H114" t="str">
            <v>NA</v>
          </cell>
          <cell r="I114">
            <v>38945.729166666664</v>
          </cell>
          <cell r="J114">
            <v>39022.729166666664</v>
          </cell>
          <cell r="K114" t="str">
            <v>NA</v>
          </cell>
          <cell r="L114">
            <v>0.09</v>
          </cell>
          <cell r="M114">
            <v>2</v>
          </cell>
          <cell r="N114">
            <v>0</v>
          </cell>
          <cell r="O114">
            <v>0</v>
          </cell>
          <cell r="P114">
            <v>0</v>
          </cell>
          <cell r="T114">
            <v>39022</v>
          </cell>
        </row>
        <row r="115">
          <cell r="B115" t="str">
            <v>DT.210.AJ.01</v>
          </cell>
          <cell r="D115" t="str">
            <v>Arranjos/ Layout’s/ Plano Diretor - Locação De Instrumentos</v>
          </cell>
          <cell r="E115" t="str">
            <v>8 dias</v>
          </cell>
          <cell r="F115">
            <v>38931.333333333336</v>
          </cell>
          <cell r="G115">
            <v>39013.333333333336</v>
          </cell>
          <cell r="H115" t="str">
            <v>NA</v>
          </cell>
          <cell r="I115">
            <v>38945.729166666664</v>
          </cell>
          <cell r="J115">
            <v>39022.729166666664</v>
          </cell>
          <cell r="K115" t="str">
            <v>NA</v>
          </cell>
          <cell r="L115">
            <v>0.09</v>
          </cell>
          <cell r="M115">
            <v>2</v>
          </cell>
          <cell r="N115">
            <v>0</v>
          </cell>
          <cell r="O115">
            <v>0</v>
          </cell>
          <cell r="P115">
            <v>0</v>
          </cell>
          <cell r="Q115">
            <v>82</v>
          </cell>
          <cell r="S115" t="str">
            <v>EQUIPE TSA</v>
          </cell>
          <cell r="T115">
            <v>39022</v>
          </cell>
        </row>
        <row r="116">
          <cell r="B116" t="str">
            <v>1.1.3</v>
          </cell>
          <cell r="C116" t="str">
            <v>220A</v>
          </cell>
          <cell r="D116" t="str">
            <v>Britagem Secundária (1B)</v>
          </cell>
          <cell r="E116" t="str">
            <v>75 dias</v>
          </cell>
          <cell r="F116">
            <v>38814.333333333336</v>
          </cell>
          <cell r="G116">
            <v>38905.333333333336</v>
          </cell>
          <cell r="H116">
            <v>38905.333333333336</v>
          </cell>
          <cell r="I116">
            <v>38846.729166666664</v>
          </cell>
          <cell r="J116">
            <v>39017.729166666664</v>
          </cell>
          <cell r="K116" t="str">
            <v>NA</v>
          </cell>
          <cell r="L116">
            <v>4.5199999999999996</v>
          </cell>
          <cell r="M116">
            <v>103.5</v>
          </cell>
          <cell r="N116">
            <v>17.190000000000001</v>
          </cell>
          <cell r="O116">
            <v>16.61</v>
          </cell>
          <cell r="P116">
            <v>16.61</v>
          </cell>
          <cell r="T116">
            <v>39017</v>
          </cell>
        </row>
        <row r="117">
          <cell r="D117" t="str">
            <v>Projeto Básico</v>
          </cell>
          <cell r="E117" t="str">
            <v>31 dias</v>
          </cell>
          <cell r="F117">
            <v>38814.333333333336</v>
          </cell>
          <cell r="G117">
            <v>38905.333333333336</v>
          </cell>
          <cell r="H117">
            <v>38905.333333333336</v>
          </cell>
          <cell r="I117">
            <v>38846.729166666664</v>
          </cell>
          <cell r="J117">
            <v>38951.729166666664</v>
          </cell>
          <cell r="K117" t="str">
            <v>NA</v>
          </cell>
          <cell r="L117">
            <v>1.02</v>
          </cell>
          <cell r="M117">
            <v>23.25</v>
          </cell>
          <cell r="N117">
            <v>17.190000000000001</v>
          </cell>
          <cell r="O117">
            <v>73.92</v>
          </cell>
          <cell r="P117">
            <v>73.92</v>
          </cell>
          <cell r="T117">
            <v>38951</v>
          </cell>
        </row>
        <row r="118">
          <cell r="D118" t="str">
            <v>Processo</v>
          </cell>
          <cell r="E118" t="str">
            <v>2 dias</v>
          </cell>
          <cell r="F118" t="str">
            <v>NA</v>
          </cell>
          <cell r="G118">
            <v>38922.333333333336</v>
          </cell>
          <cell r="H118">
            <v>38922.333333333336</v>
          </cell>
          <cell r="I118" t="str">
            <v>NA</v>
          </cell>
          <cell r="J118">
            <v>38923.729166666664</v>
          </cell>
          <cell r="K118">
            <v>38923.729166666664</v>
          </cell>
          <cell r="L118">
            <v>0.08</v>
          </cell>
          <cell r="M118">
            <v>1.88</v>
          </cell>
          <cell r="N118">
            <v>1.88</v>
          </cell>
          <cell r="O118">
            <v>100</v>
          </cell>
          <cell r="P118">
            <v>100</v>
          </cell>
          <cell r="T118">
            <v>38923</v>
          </cell>
        </row>
        <row r="119">
          <cell r="B119" t="str">
            <v>BP.220.FD.01</v>
          </cell>
          <cell r="D119" t="str">
            <v>Folha De Dados - Britador Cônico</v>
          </cell>
          <cell r="E119" t="str">
            <v>2 dias</v>
          </cell>
          <cell r="F119" t="str">
            <v>NA</v>
          </cell>
          <cell r="G119">
            <v>38922.333333333336</v>
          </cell>
          <cell r="H119">
            <v>38922.333333333336</v>
          </cell>
          <cell r="I119" t="str">
            <v>NA</v>
          </cell>
          <cell r="J119">
            <v>38923.729166666664</v>
          </cell>
          <cell r="K119">
            <v>38923.729166666664</v>
          </cell>
          <cell r="L119">
            <v>0.08</v>
          </cell>
          <cell r="M119">
            <v>1.88</v>
          </cell>
          <cell r="N119">
            <v>1.88</v>
          </cell>
          <cell r="O119">
            <v>100</v>
          </cell>
          <cell r="P119">
            <v>100</v>
          </cell>
          <cell r="Q119" t="str">
            <v>14II</v>
          </cell>
          <cell r="S119" t="str">
            <v>EQUIPE PRO</v>
          </cell>
          <cell r="T119">
            <v>38923</v>
          </cell>
        </row>
        <row r="120">
          <cell r="D120" t="str">
            <v>Mecânica</v>
          </cell>
          <cell r="E120" t="str">
            <v>31 dias</v>
          </cell>
          <cell r="F120">
            <v>38814.333333333336</v>
          </cell>
          <cell r="G120">
            <v>38905.333333333336</v>
          </cell>
          <cell r="H120">
            <v>38905.333333333336</v>
          </cell>
          <cell r="I120">
            <v>38846.729166666664</v>
          </cell>
          <cell r="J120">
            <v>38951.729166666664</v>
          </cell>
          <cell r="K120" t="str">
            <v>NA</v>
          </cell>
          <cell r="L120">
            <v>0.47</v>
          </cell>
          <cell r="M120">
            <v>10.75</v>
          </cell>
          <cell r="N120">
            <v>7.88</v>
          </cell>
          <cell r="O120">
            <v>73.260000000000005</v>
          </cell>
          <cell r="P120">
            <v>73.260000000000005</v>
          </cell>
          <cell r="T120">
            <v>38951</v>
          </cell>
        </row>
        <row r="121">
          <cell r="B121" t="str">
            <v>BB.220.DB.01</v>
          </cell>
          <cell r="D121" t="str">
            <v>Desenho Básico - Britagem e Pereiramento Secundário</v>
          </cell>
          <cell r="E121" t="str">
            <v>18 dias</v>
          </cell>
          <cell r="F121">
            <v>38814.333333333336</v>
          </cell>
          <cell r="G121">
            <v>38905.333333333336</v>
          </cell>
          <cell r="H121">
            <v>38905.333333333336</v>
          </cell>
          <cell r="I121">
            <v>38846.729166666664</v>
          </cell>
          <cell r="J121">
            <v>38930.729166666664</v>
          </cell>
          <cell r="K121" t="str">
            <v>NA</v>
          </cell>
          <cell r="L121">
            <v>0.1</v>
          </cell>
          <cell r="M121">
            <v>2.25</v>
          </cell>
          <cell r="N121">
            <v>2.0299999999999998</v>
          </cell>
          <cell r="O121">
            <v>90</v>
          </cell>
          <cell r="P121">
            <v>90</v>
          </cell>
          <cell r="Q121" t="str">
            <v>90II</v>
          </cell>
          <cell r="R121" t="str">
            <v>121II;123;126;128;140II;211II</v>
          </cell>
          <cell r="S121" t="str">
            <v>EQUIPE MEC</v>
          </cell>
          <cell r="T121">
            <v>38930</v>
          </cell>
        </row>
        <row r="122">
          <cell r="B122" t="str">
            <v>BB.220.DB.02</v>
          </cell>
          <cell r="D122" t="str">
            <v>Desenho Básico - Transports. e Alimentadores</v>
          </cell>
          <cell r="E122" t="str">
            <v>6 dias</v>
          </cell>
          <cell r="F122" t="str">
            <v>NA</v>
          </cell>
          <cell r="G122">
            <v>38940.333333333336</v>
          </cell>
          <cell r="H122">
            <v>38940.333333333336</v>
          </cell>
          <cell r="I122" t="str">
            <v>NA</v>
          </cell>
          <cell r="J122">
            <v>38951.729166666664</v>
          </cell>
          <cell r="K122" t="str">
            <v>NA</v>
          </cell>
          <cell r="L122">
            <v>0.13</v>
          </cell>
          <cell r="M122">
            <v>3</v>
          </cell>
          <cell r="N122">
            <v>0.9</v>
          </cell>
          <cell r="O122">
            <v>30</v>
          </cell>
          <cell r="P122">
            <v>30</v>
          </cell>
          <cell r="Q122">
            <v>91</v>
          </cell>
          <cell r="R122" t="str">
            <v>126;141II</v>
          </cell>
          <cell r="S122" t="str">
            <v>EQUIPE MEC</v>
          </cell>
          <cell r="T122">
            <v>38951</v>
          </cell>
        </row>
        <row r="123">
          <cell r="B123" t="str">
            <v>BB.220.FD.01</v>
          </cell>
          <cell r="D123" t="str">
            <v>Folha De Dados - Transportadores</v>
          </cell>
          <cell r="E123" t="str">
            <v>5 dias</v>
          </cell>
          <cell r="F123" t="str">
            <v>NA</v>
          </cell>
          <cell r="G123">
            <v>38911.333333333336</v>
          </cell>
          <cell r="H123">
            <v>38911.333333333336</v>
          </cell>
          <cell r="I123" t="str">
            <v>NA</v>
          </cell>
          <cell r="J123">
            <v>38917.729166666664</v>
          </cell>
          <cell r="K123" t="str">
            <v>NA</v>
          </cell>
          <cell r="L123">
            <v>0.24</v>
          </cell>
          <cell r="M123">
            <v>5.5</v>
          </cell>
          <cell r="N123">
            <v>4.95</v>
          </cell>
          <cell r="O123">
            <v>90</v>
          </cell>
          <cell r="P123">
            <v>90</v>
          </cell>
          <cell r="Q123" t="str">
            <v>119II</v>
          </cell>
          <cell r="S123" t="str">
            <v>EQUIPE MEC</v>
          </cell>
          <cell r="T123">
            <v>38917</v>
          </cell>
        </row>
        <row r="124">
          <cell r="D124" t="str">
            <v>Estrutura Metálica</v>
          </cell>
          <cell r="E124" t="str">
            <v>10 dias</v>
          </cell>
          <cell r="F124" t="str">
            <v>NA</v>
          </cell>
          <cell r="G124">
            <v>38931.333333333336</v>
          </cell>
          <cell r="H124">
            <v>38931.333333333336</v>
          </cell>
          <cell r="I124" t="str">
            <v>NA</v>
          </cell>
          <cell r="J124">
            <v>38946.729166666664</v>
          </cell>
          <cell r="K124" t="str">
            <v>NA</v>
          </cell>
          <cell r="L124">
            <v>0.46</v>
          </cell>
          <cell r="M124">
            <v>10.63</v>
          </cell>
          <cell r="N124">
            <v>7.44</v>
          </cell>
          <cell r="O124">
            <v>70</v>
          </cell>
          <cell r="P124">
            <v>70</v>
          </cell>
          <cell r="T124">
            <v>38946</v>
          </cell>
        </row>
        <row r="125">
          <cell r="B125" t="str">
            <v>BD.220.MC.01</v>
          </cell>
          <cell r="D125" t="str">
            <v>Memória De Cálculo - Britagem</v>
          </cell>
          <cell r="E125" t="str">
            <v>10 dias</v>
          </cell>
          <cell r="F125" t="str">
            <v>NA</v>
          </cell>
          <cell r="G125">
            <v>38931.333333333336</v>
          </cell>
          <cell r="H125">
            <v>38931.333333333336</v>
          </cell>
          <cell r="I125" t="str">
            <v>NA</v>
          </cell>
          <cell r="J125">
            <v>38946.729166666664</v>
          </cell>
          <cell r="K125" t="str">
            <v>NA</v>
          </cell>
          <cell r="L125">
            <v>0.46</v>
          </cell>
          <cell r="M125">
            <v>10.63</v>
          </cell>
          <cell r="N125">
            <v>7.44</v>
          </cell>
          <cell r="O125">
            <v>70</v>
          </cell>
          <cell r="P125">
            <v>70</v>
          </cell>
          <cell r="Q125">
            <v>119</v>
          </cell>
          <cell r="R125" t="str">
            <v>128II</v>
          </cell>
          <cell r="S125" t="str">
            <v>EQUIPE MET</v>
          </cell>
          <cell r="T125">
            <v>38946</v>
          </cell>
        </row>
        <row r="126">
          <cell r="D126" t="str">
            <v>Projeto Detalhado</v>
          </cell>
          <cell r="E126" t="str">
            <v>57 dias</v>
          </cell>
          <cell r="F126" t="str">
            <v>NA</v>
          </cell>
          <cell r="G126">
            <v>38931.333333333336</v>
          </cell>
          <cell r="H126" t="str">
            <v>NA</v>
          </cell>
          <cell r="I126" t="str">
            <v>NA</v>
          </cell>
          <cell r="J126">
            <v>39017.729166666664</v>
          </cell>
          <cell r="K126" t="str">
            <v>NA</v>
          </cell>
          <cell r="L126">
            <v>3.51</v>
          </cell>
          <cell r="M126">
            <v>80.25</v>
          </cell>
          <cell r="N126">
            <v>0</v>
          </cell>
          <cell r="O126">
            <v>0</v>
          </cell>
          <cell r="P126">
            <v>0</v>
          </cell>
          <cell r="T126">
            <v>39017</v>
          </cell>
        </row>
        <row r="127">
          <cell r="D127" t="str">
            <v>Mecânica</v>
          </cell>
          <cell r="E127" t="str">
            <v>17 dias</v>
          </cell>
          <cell r="F127" t="str">
            <v>NA</v>
          </cell>
          <cell r="G127">
            <v>38952.333333333336</v>
          </cell>
          <cell r="H127" t="str">
            <v>NA</v>
          </cell>
          <cell r="I127" t="str">
            <v>NA</v>
          </cell>
          <cell r="J127">
            <v>38978.729166666664</v>
          </cell>
          <cell r="K127" t="str">
            <v>NA</v>
          </cell>
          <cell r="L127">
            <v>0.56999999999999995</v>
          </cell>
          <cell r="M127">
            <v>13</v>
          </cell>
          <cell r="N127">
            <v>0</v>
          </cell>
          <cell r="O127">
            <v>0</v>
          </cell>
          <cell r="P127">
            <v>0</v>
          </cell>
          <cell r="T127">
            <v>38978</v>
          </cell>
        </row>
        <row r="128">
          <cell r="B128" t="str">
            <v>DB.220.DD.01</v>
          </cell>
          <cell r="D128" t="str">
            <v>Desenho Detalhamento - Silo/ Chutes</v>
          </cell>
          <cell r="E128" t="str">
            <v>17 dias</v>
          </cell>
          <cell r="F128" t="str">
            <v>NA</v>
          </cell>
          <cell r="G128">
            <v>38952.333333333336</v>
          </cell>
          <cell r="H128" t="str">
            <v>NA</v>
          </cell>
          <cell r="I128" t="str">
            <v>NA</v>
          </cell>
          <cell r="J128">
            <v>38978.729166666664</v>
          </cell>
          <cell r="K128" t="str">
            <v>NA</v>
          </cell>
          <cell r="L128">
            <v>0.56999999999999995</v>
          </cell>
          <cell r="M128">
            <v>13</v>
          </cell>
          <cell r="N128">
            <v>0</v>
          </cell>
          <cell r="O128">
            <v>0</v>
          </cell>
          <cell r="P128">
            <v>0</v>
          </cell>
          <cell r="Q128" t="str">
            <v>30TI+10 dias;119;120</v>
          </cell>
          <cell r="R128">
            <v>130</v>
          </cell>
          <cell r="S128" t="str">
            <v>EQUIPE MEC</v>
          </cell>
          <cell r="T128">
            <v>38978</v>
          </cell>
        </row>
        <row r="129">
          <cell r="D129" t="str">
            <v>Civil</v>
          </cell>
          <cell r="E129" t="str">
            <v>16 dias</v>
          </cell>
          <cell r="F129" t="str">
            <v>NA</v>
          </cell>
          <cell r="G129">
            <v>38931.333333333336</v>
          </cell>
          <cell r="H129" t="str">
            <v>NA</v>
          </cell>
          <cell r="I129" t="str">
            <v>NA</v>
          </cell>
          <cell r="J129">
            <v>38954.729166666664</v>
          </cell>
          <cell r="K129" t="str">
            <v>NA</v>
          </cell>
          <cell r="L129">
            <v>0.39</v>
          </cell>
          <cell r="M129">
            <v>9</v>
          </cell>
          <cell r="N129">
            <v>0</v>
          </cell>
          <cell r="O129">
            <v>0</v>
          </cell>
          <cell r="P129">
            <v>0</v>
          </cell>
          <cell r="T129">
            <v>38954</v>
          </cell>
        </row>
        <row r="130">
          <cell r="B130" t="str">
            <v>DC.220.DD.01</v>
          </cell>
          <cell r="D130" t="str">
            <v>Desenho De Detalhamento - Peneiramento/ Britagem</v>
          </cell>
          <cell r="E130" t="str">
            <v>16 dias</v>
          </cell>
          <cell r="F130" t="str">
            <v>NA</v>
          </cell>
          <cell r="G130">
            <v>38931.333333333336</v>
          </cell>
          <cell r="H130" t="str">
            <v>NA</v>
          </cell>
          <cell r="I130" t="str">
            <v>NA</v>
          </cell>
          <cell r="J130">
            <v>38954.729166666664</v>
          </cell>
          <cell r="K130" t="str">
            <v>NA</v>
          </cell>
          <cell r="L130">
            <v>0.39</v>
          </cell>
          <cell r="M130">
            <v>9</v>
          </cell>
          <cell r="N130">
            <v>0</v>
          </cell>
          <cell r="O130">
            <v>0</v>
          </cell>
          <cell r="P130">
            <v>0</v>
          </cell>
          <cell r="Q130" t="str">
            <v>119;123II</v>
          </cell>
          <cell r="S130" t="str">
            <v>EQUIPE CIV</v>
          </cell>
          <cell r="T130">
            <v>38954</v>
          </cell>
        </row>
        <row r="131">
          <cell r="D131" t="str">
            <v>Estrutura Metálica</v>
          </cell>
          <cell r="E131" t="str">
            <v>26 dias</v>
          </cell>
          <cell r="F131" t="str">
            <v>NA</v>
          </cell>
          <cell r="G131">
            <v>38979.333333333336</v>
          </cell>
          <cell r="H131" t="str">
            <v>NA</v>
          </cell>
          <cell r="I131" t="str">
            <v>NA</v>
          </cell>
          <cell r="J131">
            <v>39016.729166666664</v>
          </cell>
          <cell r="K131" t="str">
            <v>NA</v>
          </cell>
          <cell r="L131">
            <v>2.5</v>
          </cell>
          <cell r="M131">
            <v>57.25</v>
          </cell>
          <cell r="N131">
            <v>0</v>
          </cell>
          <cell r="O131">
            <v>0</v>
          </cell>
          <cell r="P131">
            <v>0</v>
          </cell>
          <cell r="T131">
            <v>39016</v>
          </cell>
        </row>
        <row r="132">
          <cell r="B132" t="str">
            <v>DD.220.DP.01</v>
          </cell>
          <cell r="D132" t="str">
            <v>Desenho De Projeto</v>
          </cell>
          <cell r="E132" t="str">
            <v>16 dias</v>
          </cell>
          <cell r="F132" t="str">
            <v>NA</v>
          </cell>
          <cell r="G132">
            <v>38979.333333333336</v>
          </cell>
          <cell r="H132" t="str">
            <v>NA</v>
          </cell>
          <cell r="I132" t="str">
            <v>NA</v>
          </cell>
          <cell r="J132">
            <v>39000.729166666664</v>
          </cell>
          <cell r="K132" t="str">
            <v>NA</v>
          </cell>
          <cell r="L132">
            <v>0.61</v>
          </cell>
          <cell r="M132">
            <v>14</v>
          </cell>
          <cell r="N132">
            <v>0</v>
          </cell>
          <cell r="O132">
            <v>0</v>
          </cell>
          <cell r="P132">
            <v>0</v>
          </cell>
          <cell r="Q132">
            <v>126</v>
          </cell>
          <cell r="R132" t="str">
            <v>131;132;149</v>
          </cell>
          <cell r="S132" t="str">
            <v>EQUIPE MET</v>
          </cell>
          <cell r="T132">
            <v>39000</v>
          </cell>
        </row>
        <row r="133">
          <cell r="B133" t="str">
            <v>DD.220.LM.01</v>
          </cell>
          <cell r="D133" t="str">
            <v>Lista De Materiais</v>
          </cell>
          <cell r="E133" t="str">
            <v>1 dia</v>
          </cell>
          <cell r="F133" t="str">
            <v>NA</v>
          </cell>
          <cell r="G133">
            <v>39001.333333333336</v>
          </cell>
          <cell r="H133" t="str">
            <v>NA</v>
          </cell>
          <cell r="I133" t="str">
            <v>NA</v>
          </cell>
          <cell r="J133">
            <v>39001.729166666664</v>
          </cell>
          <cell r="K133" t="str">
            <v>NA</v>
          </cell>
          <cell r="L133">
            <v>0.01</v>
          </cell>
          <cell r="M133">
            <v>0.25</v>
          </cell>
          <cell r="N133">
            <v>0</v>
          </cell>
          <cell r="O133">
            <v>0</v>
          </cell>
          <cell r="P133">
            <v>0</v>
          </cell>
          <cell r="Q133">
            <v>130</v>
          </cell>
          <cell r="S133" t="str">
            <v>EQUIPE MET</v>
          </cell>
          <cell r="T133">
            <v>39001</v>
          </cell>
        </row>
        <row r="134">
          <cell r="B134" t="str">
            <v>DD.220.MC.01</v>
          </cell>
          <cell r="D134" t="str">
            <v>Memória De Cálculo</v>
          </cell>
          <cell r="E134" t="str">
            <v>10 dias</v>
          </cell>
          <cell r="F134" t="str">
            <v>NA</v>
          </cell>
          <cell r="G134">
            <v>39001.333333333336</v>
          </cell>
          <cell r="H134" t="str">
            <v>NA</v>
          </cell>
          <cell r="I134" t="str">
            <v>NA</v>
          </cell>
          <cell r="J134">
            <v>39016.729166666664</v>
          </cell>
          <cell r="K134" t="str">
            <v>NA</v>
          </cell>
          <cell r="L134">
            <v>1.88</v>
          </cell>
          <cell r="M134">
            <v>43</v>
          </cell>
          <cell r="N134">
            <v>0</v>
          </cell>
          <cell r="O134">
            <v>0</v>
          </cell>
          <cell r="P134">
            <v>0</v>
          </cell>
          <cell r="Q134">
            <v>130</v>
          </cell>
          <cell r="S134" t="str">
            <v>EQUIPE MET</v>
          </cell>
          <cell r="T134">
            <v>39016</v>
          </cell>
        </row>
        <row r="135">
          <cell r="D135" t="str">
            <v>Instrumentação</v>
          </cell>
          <cell r="E135" t="str">
            <v>5 dias</v>
          </cell>
          <cell r="F135" t="str">
            <v>NA</v>
          </cell>
          <cell r="G135">
            <v>39013.333333333336</v>
          </cell>
          <cell r="H135" t="str">
            <v>NA</v>
          </cell>
          <cell r="I135" t="str">
            <v>NA</v>
          </cell>
          <cell r="J135">
            <v>39017.729166666664</v>
          </cell>
          <cell r="K135" t="str">
            <v>NA</v>
          </cell>
          <cell r="L135">
            <v>0.04</v>
          </cell>
          <cell r="M135">
            <v>1</v>
          </cell>
          <cell r="N135">
            <v>0</v>
          </cell>
          <cell r="O135">
            <v>0</v>
          </cell>
          <cell r="P135">
            <v>0</v>
          </cell>
          <cell r="T135">
            <v>39017</v>
          </cell>
        </row>
        <row r="136">
          <cell r="B136" t="str">
            <v>DT.220.AJ.01</v>
          </cell>
          <cell r="D136" t="str">
            <v>Arranjos/ Layout’s/ Plano Diretor - Locação De Instrumentos</v>
          </cell>
          <cell r="E136" t="str">
            <v>5 dias</v>
          </cell>
          <cell r="F136" t="str">
            <v>NA</v>
          </cell>
          <cell r="G136">
            <v>39013.333333333336</v>
          </cell>
          <cell r="H136" t="str">
            <v>NA</v>
          </cell>
          <cell r="I136" t="str">
            <v>NA</v>
          </cell>
          <cell r="J136">
            <v>39017.729166666664</v>
          </cell>
          <cell r="K136" t="str">
            <v>NA</v>
          </cell>
          <cell r="L136">
            <v>0.04</v>
          </cell>
          <cell r="M136">
            <v>1</v>
          </cell>
          <cell r="N136">
            <v>0</v>
          </cell>
          <cell r="O136">
            <v>0</v>
          </cell>
          <cell r="P136">
            <v>0</v>
          </cell>
          <cell r="Q136">
            <v>82</v>
          </cell>
          <cell r="R136">
            <v>331</v>
          </cell>
          <cell r="S136" t="str">
            <v>EQUIPE TSA</v>
          </cell>
          <cell r="T136">
            <v>39017</v>
          </cell>
        </row>
        <row r="137">
          <cell r="B137" t="str">
            <v>1.1.4</v>
          </cell>
          <cell r="C137" t="str">
            <v>225A</v>
          </cell>
          <cell r="D137" t="str">
            <v>Britagem Terciária (1C)</v>
          </cell>
          <cell r="E137" t="str">
            <v>83 dias</v>
          </cell>
          <cell r="F137">
            <v>38814.333333333336</v>
          </cell>
          <cell r="G137">
            <v>38905.333333333336</v>
          </cell>
          <cell r="H137">
            <v>38905.333333333336</v>
          </cell>
          <cell r="I137">
            <v>38846.729166666664</v>
          </cell>
          <cell r="J137">
            <v>39031.729166666664</v>
          </cell>
          <cell r="K137" t="str">
            <v>NA</v>
          </cell>
          <cell r="L137">
            <v>2.59</v>
          </cell>
          <cell r="M137">
            <v>59.25</v>
          </cell>
          <cell r="N137">
            <v>14.05</v>
          </cell>
          <cell r="O137">
            <v>23.71</v>
          </cell>
          <cell r="P137">
            <v>23.71</v>
          </cell>
          <cell r="T137">
            <v>39031</v>
          </cell>
        </row>
        <row r="138">
          <cell r="D138" t="str">
            <v>Projeto Básico</v>
          </cell>
          <cell r="E138" t="str">
            <v>35 dias</v>
          </cell>
          <cell r="F138">
            <v>38814.333333333336</v>
          </cell>
          <cell r="G138">
            <v>38905.333333333336</v>
          </cell>
          <cell r="H138">
            <v>38905.333333333336</v>
          </cell>
          <cell r="I138">
            <v>38846.729166666664</v>
          </cell>
          <cell r="J138">
            <v>38957.729166666664</v>
          </cell>
          <cell r="K138" t="str">
            <v>NA</v>
          </cell>
          <cell r="L138">
            <v>1.05</v>
          </cell>
          <cell r="M138">
            <v>24</v>
          </cell>
          <cell r="N138">
            <v>14.05</v>
          </cell>
          <cell r="O138">
            <v>58.54</v>
          </cell>
          <cell r="P138">
            <v>58.54</v>
          </cell>
          <cell r="T138">
            <v>38957</v>
          </cell>
        </row>
        <row r="139">
          <cell r="D139" t="str">
            <v>Processo</v>
          </cell>
          <cell r="E139" t="str">
            <v>4 dias</v>
          </cell>
          <cell r="F139" t="str">
            <v>NA</v>
          </cell>
          <cell r="G139">
            <v>38922.333333333336</v>
          </cell>
          <cell r="H139">
            <v>38922.333333333336</v>
          </cell>
          <cell r="I139" t="str">
            <v>NA</v>
          </cell>
          <cell r="J139">
            <v>38925.729166666664</v>
          </cell>
          <cell r="K139" t="str">
            <v>NA</v>
          </cell>
          <cell r="L139">
            <v>0.17</v>
          </cell>
          <cell r="M139">
            <v>4</v>
          </cell>
          <cell r="N139">
            <v>3.78</v>
          </cell>
          <cell r="O139">
            <v>94.38</v>
          </cell>
          <cell r="P139">
            <v>94.38</v>
          </cell>
          <cell r="T139">
            <v>38925</v>
          </cell>
        </row>
        <row r="140">
          <cell r="B140" t="str">
            <v>BP.225.FD.01</v>
          </cell>
          <cell r="D140" t="str">
            <v>Folha De Dados - Britador Cônico/ Peneiras</v>
          </cell>
          <cell r="E140" t="str">
            <v>4 dias</v>
          </cell>
          <cell r="F140" t="str">
            <v>NA</v>
          </cell>
          <cell r="G140">
            <v>38922.333333333336</v>
          </cell>
          <cell r="H140">
            <v>38922.333333333336</v>
          </cell>
          <cell r="I140" t="str">
            <v>NA</v>
          </cell>
          <cell r="J140">
            <v>38925.729166666664</v>
          </cell>
          <cell r="K140" t="str">
            <v>NA</v>
          </cell>
          <cell r="L140">
            <v>0.17</v>
          </cell>
          <cell r="M140">
            <v>4</v>
          </cell>
          <cell r="N140">
            <v>3.78</v>
          </cell>
          <cell r="O140">
            <v>94.38</v>
          </cell>
          <cell r="P140">
            <v>94.38</v>
          </cell>
          <cell r="Q140" t="str">
            <v>14II</v>
          </cell>
          <cell r="S140" t="str">
            <v>EQUIPE PRO</v>
          </cell>
          <cell r="T140">
            <v>38925</v>
          </cell>
        </row>
        <row r="141">
          <cell r="D141" t="str">
            <v>Mecânica</v>
          </cell>
          <cell r="E141" t="str">
            <v>35 dias</v>
          </cell>
          <cell r="F141">
            <v>38814.333333333336</v>
          </cell>
          <cell r="G141">
            <v>38905.333333333336</v>
          </cell>
          <cell r="H141">
            <v>38905.333333333336</v>
          </cell>
          <cell r="I141">
            <v>38846.729166666664</v>
          </cell>
          <cell r="J141">
            <v>38957.729166666664</v>
          </cell>
          <cell r="K141" t="str">
            <v>NA</v>
          </cell>
          <cell r="L141">
            <v>0.56999999999999995</v>
          </cell>
          <cell r="M141">
            <v>13</v>
          </cell>
          <cell r="N141">
            <v>8.18</v>
          </cell>
          <cell r="O141">
            <v>62.88</v>
          </cell>
          <cell r="P141">
            <v>62.88</v>
          </cell>
          <cell r="T141">
            <v>38957</v>
          </cell>
        </row>
        <row r="142">
          <cell r="B142" t="str">
            <v>BB.225.DB.01</v>
          </cell>
          <cell r="D142" t="str">
            <v>Desenho Básico - Britagem</v>
          </cell>
          <cell r="E142" t="str">
            <v>7 dias</v>
          </cell>
          <cell r="F142">
            <v>38814.333333333336</v>
          </cell>
          <cell r="G142">
            <v>38905.333333333336</v>
          </cell>
          <cell r="H142">
            <v>38905.333333333336</v>
          </cell>
          <cell r="I142">
            <v>38846.729166666664</v>
          </cell>
          <cell r="J142">
            <v>38915.729166666664</v>
          </cell>
          <cell r="K142" t="str">
            <v>NA</v>
          </cell>
          <cell r="L142">
            <v>0.1</v>
          </cell>
          <cell r="M142">
            <v>2.25</v>
          </cell>
          <cell r="N142">
            <v>2.0299999999999998</v>
          </cell>
          <cell r="O142">
            <v>90</v>
          </cell>
          <cell r="P142">
            <v>90</v>
          </cell>
          <cell r="Q142" t="str">
            <v>119II</v>
          </cell>
          <cell r="R142" t="str">
            <v>142II;144;147</v>
          </cell>
          <cell r="S142" t="str">
            <v>EQUIPE MEC</v>
          </cell>
          <cell r="T142">
            <v>38915</v>
          </cell>
        </row>
        <row r="143">
          <cell r="B143" t="str">
            <v>BB.225.DB.02</v>
          </cell>
          <cell r="D143" t="str">
            <v>Desenho Básico - Transports. e Alimentadores</v>
          </cell>
          <cell r="E143" t="str">
            <v>10 dias</v>
          </cell>
          <cell r="F143" t="str">
            <v>NA</v>
          </cell>
          <cell r="G143">
            <v>38940.333333333336</v>
          </cell>
          <cell r="H143">
            <v>38940.333333333336</v>
          </cell>
          <cell r="I143" t="str">
            <v>NA</v>
          </cell>
          <cell r="J143">
            <v>38957.729166666664</v>
          </cell>
          <cell r="K143" t="str">
            <v>NA</v>
          </cell>
          <cell r="L143">
            <v>0.17</v>
          </cell>
          <cell r="M143">
            <v>4</v>
          </cell>
          <cell r="N143">
            <v>1.2</v>
          </cell>
          <cell r="O143">
            <v>30</v>
          </cell>
          <cell r="P143">
            <v>30</v>
          </cell>
          <cell r="Q143" t="str">
            <v>120II</v>
          </cell>
          <cell r="R143" t="str">
            <v>162II;163II;164II</v>
          </cell>
          <cell r="S143" t="str">
            <v>EQUIPE MEC</v>
          </cell>
          <cell r="T143">
            <v>38957</v>
          </cell>
        </row>
        <row r="144">
          <cell r="B144" t="str">
            <v>BB.225.FD.01</v>
          </cell>
          <cell r="D144" t="str">
            <v>Folha De Dados - Transports. e Alimentadores</v>
          </cell>
          <cell r="E144" t="str">
            <v>6 dias</v>
          </cell>
          <cell r="F144" t="str">
            <v>NA</v>
          </cell>
          <cell r="G144">
            <v>38910.333333333336</v>
          </cell>
          <cell r="H144">
            <v>38910.333333333336</v>
          </cell>
          <cell r="I144" t="str">
            <v>NA</v>
          </cell>
          <cell r="J144">
            <v>38917.729166666664</v>
          </cell>
          <cell r="K144" t="str">
            <v>NA</v>
          </cell>
          <cell r="L144">
            <v>0.3</v>
          </cell>
          <cell r="M144">
            <v>6.75</v>
          </cell>
          <cell r="N144">
            <v>4.95</v>
          </cell>
          <cell r="O144">
            <v>73.33</v>
          </cell>
          <cell r="P144">
            <v>73.33</v>
          </cell>
          <cell r="Q144" t="str">
            <v>140II</v>
          </cell>
          <cell r="S144" t="str">
            <v>EQUIPE MEC</v>
          </cell>
          <cell r="T144">
            <v>38917</v>
          </cell>
        </row>
        <row r="145">
          <cell r="D145" t="str">
            <v>Estrutura Metálica</v>
          </cell>
          <cell r="E145" t="str">
            <v>7 dias</v>
          </cell>
          <cell r="F145" t="str">
            <v>NA</v>
          </cell>
          <cell r="G145">
            <v>38930.333333333336</v>
          </cell>
          <cell r="H145">
            <v>38930.333333333336</v>
          </cell>
          <cell r="I145" t="str">
            <v>NA</v>
          </cell>
          <cell r="J145">
            <v>38938.729166666664</v>
          </cell>
          <cell r="K145" t="str">
            <v>NA</v>
          </cell>
          <cell r="L145">
            <v>0.31</v>
          </cell>
          <cell r="M145">
            <v>7</v>
          </cell>
          <cell r="N145">
            <v>2.1</v>
          </cell>
          <cell r="O145">
            <v>30</v>
          </cell>
          <cell r="P145">
            <v>30</v>
          </cell>
          <cell r="T145">
            <v>38938</v>
          </cell>
        </row>
        <row r="146">
          <cell r="B146" t="str">
            <v>BD.225.MC.01</v>
          </cell>
          <cell r="D146" t="str">
            <v>Memória De Cálculo - Britagem</v>
          </cell>
          <cell r="E146" t="str">
            <v>7 dias</v>
          </cell>
          <cell r="F146" t="str">
            <v>NA</v>
          </cell>
          <cell r="G146">
            <v>38930.333333333336</v>
          </cell>
          <cell r="H146">
            <v>38930.333333333336</v>
          </cell>
          <cell r="I146" t="str">
            <v>NA</v>
          </cell>
          <cell r="J146">
            <v>38938.729166666664</v>
          </cell>
          <cell r="K146" t="str">
            <v>NA</v>
          </cell>
          <cell r="L146">
            <v>0.31</v>
          </cell>
          <cell r="M146">
            <v>7</v>
          </cell>
          <cell r="N146">
            <v>2.1</v>
          </cell>
          <cell r="O146">
            <v>30</v>
          </cell>
          <cell r="P146">
            <v>30</v>
          </cell>
          <cell r="Q146">
            <v>140</v>
          </cell>
          <cell r="R146" t="str">
            <v>147II</v>
          </cell>
          <cell r="S146" t="str">
            <v>EQUIPE MET</v>
          </cell>
          <cell r="T146">
            <v>38938</v>
          </cell>
        </row>
        <row r="147">
          <cell r="D147" t="str">
            <v>Projeto Detalhado</v>
          </cell>
          <cell r="E147" t="str">
            <v>66 dias</v>
          </cell>
          <cell r="F147" t="str">
            <v>NA</v>
          </cell>
          <cell r="G147">
            <v>38930.333333333336</v>
          </cell>
          <cell r="H147" t="str">
            <v>NA</v>
          </cell>
          <cell r="I147" t="str">
            <v>NA</v>
          </cell>
          <cell r="J147">
            <v>39031.729166666664</v>
          </cell>
          <cell r="K147" t="str">
            <v>NA</v>
          </cell>
          <cell r="L147">
            <v>1.54</v>
          </cell>
          <cell r="M147">
            <v>35.25</v>
          </cell>
          <cell r="N147">
            <v>0</v>
          </cell>
          <cell r="O147">
            <v>0</v>
          </cell>
          <cell r="P147">
            <v>0</v>
          </cell>
          <cell r="T147">
            <v>39031</v>
          </cell>
        </row>
        <row r="148">
          <cell r="D148" t="str">
            <v>Civil</v>
          </cell>
          <cell r="E148" t="str">
            <v>20 dias</v>
          </cell>
          <cell r="F148" t="str">
            <v>NA</v>
          </cell>
          <cell r="G148">
            <v>38930.333333333336</v>
          </cell>
          <cell r="H148" t="str">
            <v>NA</v>
          </cell>
          <cell r="I148" t="str">
            <v>NA</v>
          </cell>
          <cell r="J148">
            <v>38959.729166666664</v>
          </cell>
          <cell r="K148" t="str">
            <v>NA</v>
          </cell>
          <cell r="L148">
            <v>0.35</v>
          </cell>
          <cell r="M148">
            <v>8</v>
          </cell>
          <cell r="N148">
            <v>0</v>
          </cell>
          <cell r="O148">
            <v>0</v>
          </cell>
          <cell r="P148">
            <v>0</v>
          </cell>
          <cell r="T148">
            <v>38959</v>
          </cell>
        </row>
        <row r="149">
          <cell r="B149" t="str">
            <v>DC.225.DD.01</v>
          </cell>
          <cell r="D149" t="str">
            <v>Desenho De Detalhamento - Britagem</v>
          </cell>
          <cell r="E149" t="str">
            <v>20 dias</v>
          </cell>
          <cell r="F149" t="str">
            <v>NA</v>
          </cell>
          <cell r="G149">
            <v>38930.333333333336</v>
          </cell>
          <cell r="H149" t="str">
            <v>NA</v>
          </cell>
          <cell r="I149" t="str">
            <v>NA</v>
          </cell>
          <cell r="J149">
            <v>38959.729166666664</v>
          </cell>
          <cell r="K149" t="str">
            <v>NA</v>
          </cell>
          <cell r="L149">
            <v>0.35</v>
          </cell>
          <cell r="M149">
            <v>8</v>
          </cell>
          <cell r="N149">
            <v>0</v>
          </cell>
          <cell r="O149">
            <v>0</v>
          </cell>
          <cell r="P149">
            <v>0</v>
          </cell>
          <cell r="Q149" t="str">
            <v>140;144II</v>
          </cell>
          <cell r="R149">
            <v>154</v>
          </cell>
          <cell r="S149" t="str">
            <v>EQUIPE CIV[60%]</v>
          </cell>
          <cell r="T149">
            <v>38959</v>
          </cell>
        </row>
        <row r="150">
          <cell r="D150" t="str">
            <v>Estrutura Metálica</v>
          </cell>
          <cell r="E150" t="str">
            <v>19 dias</v>
          </cell>
          <cell r="F150" t="str">
            <v>NA</v>
          </cell>
          <cell r="G150">
            <v>39001.333333333336</v>
          </cell>
          <cell r="H150" t="str">
            <v>NA</v>
          </cell>
          <cell r="I150" t="str">
            <v>NA</v>
          </cell>
          <cell r="J150">
            <v>39031.729166666664</v>
          </cell>
          <cell r="K150" t="str">
            <v>NA</v>
          </cell>
          <cell r="L150">
            <v>0.75</v>
          </cell>
          <cell r="M150">
            <v>17.25</v>
          </cell>
          <cell r="N150">
            <v>0</v>
          </cell>
          <cell r="O150">
            <v>0</v>
          </cell>
          <cell r="P150">
            <v>0</v>
          </cell>
          <cell r="T150">
            <v>39031</v>
          </cell>
        </row>
        <row r="151">
          <cell r="B151" t="str">
            <v>DD.225.DP.01</v>
          </cell>
          <cell r="D151" t="str">
            <v>Desenho De Projeto</v>
          </cell>
          <cell r="E151" t="str">
            <v>5 dias</v>
          </cell>
          <cell r="F151" t="str">
            <v>NA</v>
          </cell>
          <cell r="G151">
            <v>39001.333333333336</v>
          </cell>
          <cell r="H151" t="str">
            <v>NA</v>
          </cell>
          <cell r="I151" t="str">
            <v>NA</v>
          </cell>
          <cell r="J151">
            <v>39009.729166666664</v>
          </cell>
          <cell r="K151" t="str">
            <v>NA</v>
          </cell>
          <cell r="L151">
            <v>0.13</v>
          </cell>
          <cell r="M151">
            <v>3</v>
          </cell>
          <cell r="N151">
            <v>0</v>
          </cell>
          <cell r="O151">
            <v>0</v>
          </cell>
          <cell r="P151">
            <v>0</v>
          </cell>
          <cell r="Q151">
            <v>130</v>
          </cell>
          <cell r="R151" t="str">
            <v>150;151</v>
          </cell>
          <cell r="S151" t="str">
            <v>EQUIPE MET</v>
          </cell>
          <cell r="T151">
            <v>39009</v>
          </cell>
        </row>
        <row r="152">
          <cell r="B152" t="str">
            <v>DD.225.LM.01</v>
          </cell>
          <cell r="D152" t="str">
            <v>Lista De Materiais</v>
          </cell>
          <cell r="E152" t="str">
            <v>1 dia</v>
          </cell>
          <cell r="F152" t="str">
            <v>NA</v>
          </cell>
          <cell r="G152">
            <v>39010.333333333336</v>
          </cell>
          <cell r="H152" t="str">
            <v>NA</v>
          </cell>
          <cell r="I152" t="str">
            <v>NA</v>
          </cell>
          <cell r="J152">
            <v>39010.729166666664</v>
          </cell>
          <cell r="K152" t="str">
            <v>NA</v>
          </cell>
          <cell r="L152">
            <v>0.01</v>
          </cell>
          <cell r="M152">
            <v>0.25</v>
          </cell>
          <cell r="N152">
            <v>0</v>
          </cell>
          <cell r="O152">
            <v>0</v>
          </cell>
          <cell r="P152">
            <v>0</v>
          </cell>
          <cell r="Q152">
            <v>149</v>
          </cell>
          <cell r="S152" t="str">
            <v>EQUIPE MET</v>
          </cell>
          <cell r="T152">
            <v>39010</v>
          </cell>
        </row>
        <row r="153">
          <cell r="B153" t="str">
            <v>DD.225.MC.01</v>
          </cell>
          <cell r="D153" t="str">
            <v>Memória De Cálculo</v>
          </cell>
          <cell r="E153" t="str">
            <v>14 dias</v>
          </cell>
          <cell r="F153" t="str">
            <v>NA</v>
          </cell>
          <cell r="G153">
            <v>39010.333333333336</v>
          </cell>
          <cell r="H153" t="str">
            <v>NA</v>
          </cell>
          <cell r="I153" t="str">
            <v>NA</v>
          </cell>
          <cell r="J153">
            <v>39031.729166666664</v>
          </cell>
          <cell r="K153" t="str">
            <v>NA</v>
          </cell>
          <cell r="L153">
            <v>0.61</v>
          </cell>
          <cell r="M153">
            <v>14</v>
          </cell>
          <cell r="N153">
            <v>0</v>
          </cell>
          <cell r="O153">
            <v>0</v>
          </cell>
          <cell r="P153">
            <v>0</v>
          </cell>
          <cell r="Q153">
            <v>149</v>
          </cell>
          <cell r="S153" t="str">
            <v>EQUIPE MET</v>
          </cell>
          <cell r="T153">
            <v>39031</v>
          </cell>
        </row>
        <row r="154">
          <cell r="D154" t="str">
            <v>Elétrica</v>
          </cell>
          <cell r="E154" t="str">
            <v>20 dias</v>
          </cell>
          <cell r="F154" t="str">
            <v>NA</v>
          </cell>
          <cell r="G154">
            <v>38960.333333333336</v>
          </cell>
          <cell r="H154" t="str">
            <v>NA</v>
          </cell>
          <cell r="I154" t="str">
            <v>NA</v>
          </cell>
          <cell r="J154">
            <v>38989.729166666664</v>
          </cell>
          <cell r="K154" t="str">
            <v>NA</v>
          </cell>
          <cell r="L154">
            <v>0.39</v>
          </cell>
          <cell r="M154">
            <v>9</v>
          </cell>
          <cell r="N154">
            <v>0</v>
          </cell>
          <cell r="O154">
            <v>0</v>
          </cell>
          <cell r="P154">
            <v>0</v>
          </cell>
          <cell r="T154">
            <v>38989</v>
          </cell>
        </row>
        <row r="155">
          <cell r="D155" t="str">
            <v>Desenho De Detalhamento</v>
          </cell>
          <cell r="E155" t="str">
            <v>20 dias</v>
          </cell>
          <cell r="F155" t="str">
            <v>NA</v>
          </cell>
          <cell r="G155">
            <v>38960.333333333336</v>
          </cell>
          <cell r="H155" t="str">
            <v>NA</v>
          </cell>
          <cell r="I155" t="str">
            <v>NA</v>
          </cell>
          <cell r="J155">
            <v>38989.729166666664</v>
          </cell>
          <cell r="K155" t="str">
            <v>NA</v>
          </cell>
          <cell r="L155">
            <v>0.39</v>
          </cell>
          <cell r="M155">
            <v>9</v>
          </cell>
          <cell r="N155">
            <v>0</v>
          </cell>
          <cell r="O155">
            <v>0</v>
          </cell>
          <cell r="P155">
            <v>0</v>
          </cell>
          <cell r="T155">
            <v>38989</v>
          </cell>
        </row>
        <row r="156">
          <cell r="B156" t="str">
            <v>DE.225.DD.01</v>
          </cell>
          <cell r="D156" t="str">
            <v>Eletrodutos e Bandejas</v>
          </cell>
          <cell r="E156" t="str">
            <v>11 dias</v>
          </cell>
          <cell r="F156" t="str">
            <v>NA</v>
          </cell>
          <cell r="G156">
            <v>38960.333333333336</v>
          </cell>
          <cell r="H156" t="str">
            <v>NA</v>
          </cell>
          <cell r="I156" t="str">
            <v>NA</v>
          </cell>
          <cell r="J156">
            <v>38978.729166666664</v>
          </cell>
          <cell r="K156" t="str">
            <v>NA</v>
          </cell>
          <cell r="L156">
            <v>0.22</v>
          </cell>
          <cell r="M156">
            <v>5</v>
          </cell>
          <cell r="N156">
            <v>0</v>
          </cell>
          <cell r="O156">
            <v>0</v>
          </cell>
          <cell r="P156">
            <v>0</v>
          </cell>
          <cell r="Q156">
            <v>147</v>
          </cell>
          <cell r="R156">
            <v>155</v>
          </cell>
          <cell r="S156" t="str">
            <v>EQUIPE ELE</v>
          </cell>
          <cell r="T156">
            <v>38978</v>
          </cell>
        </row>
        <row r="157">
          <cell r="B157" t="str">
            <v>DE.225.DD.02</v>
          </cell>
          <cell r="D157" t="str">
            <v>Iluminação</v>
          </cell>
          <cell r="E157" t="str">
            <v>9 dias</v>
          </cell>
          <cell r="F157" t="str">
            <v>NA</v>
          </cell>
          <cell r="G157">
            <v>38979.333333333336</v>
          </cell>
          <cell r="H157" t="str">
            <v>NA</v>
          </cell>
          <cell r="I157" t="str">
            <v>NA</v>
          </cell>
          <cell r="J157">
            <v>38989.729166666664</v>
          </cell>
          <cell r="K157" t="str">
            <v>NA</v>
          </cell>
          <cell r="L157">
            <v>0.17</v>
          </cell>
          <cell r="M157">
            <v>4</v>
          </cell>
          <cell r="N157">
            <v>0</v>
          </cell>
          <cell r="O157">
            <v>0</v>
          </cell>
          <cell r="P157">
            <v>0</v>
          </cell>
          <cell r="Q157">
            <v>154</v>
          </cell>
          <cell r="S157" t="str">
            <v>EQUIPE ELE</v>
          </cell>
          <cell r="T157">
            <v>38989</v>
          </cell>
        </row>
        <row r="158">
          <cell r="D158" t="str">
            <v>Instrumentação</v>
          </cell>
          <cell r="E158" t="str">
            <v>5 dias</v>
          </cell>
          <cell r="F158" t="str">
            <v>NA</v>
          </cell>
          <cell r="G158">
            <v>39013.333333333336</v>
          </cell>
          <cell r="H158" t="str">
            <v>NA</v>
          </cell>
          <cell r="I158" t="str">
            <v>NA</v>
          </cell>
          <cell r="J158">
            <v>39017.729166666664</v>
          </cell>
          <cell r="K158" t="str">
            <v>NA</v>
          </cell>
          <cell r="L158">
            <v>0.04</v>
          </cell>
          <cell r="M158">
            <v>1</v>
          </cell>
          <cell r="N158">
            <v>0</v>
          </cell>
          <cell r="O158">
            <v>0</v>
          </cell>
          <cell r="P158">
            <v>0</v>
          </cell>
          <cell r="T158">
            <v>39017</v>
          </cell>
        </row>
        <row r="159">
          <cell r="B159" t="str">
            <v>DT.225.AJ.01</v>
          </cell>
          <cell r="D159" t="str">
            <v>Arranjos/ Layout’s/ Plano Diretor - Locação De Instrumentos</v>
          </cell>
          <cell r="E159" t="str">
            <v>5 dias</v>
          </cell>
          <cell r="F159" t="str">
            <v>NA</v>
          </cell>
          <cell r="G159">
            <v>39013.333333333336</v>
          </cell>
          <cell r="H159" t="str">
            <v>NA</v>
          </cell>
          <cell r="I159" t="str">
            <v>NA</v>
          </cell>
          <cell r="J159">
            <v>39017.729166666664</v>
          </cell>
          <cell r="K159" t="str">
            <v>NA</v>
          </cell>
          <cell r="L159">
            <v>0.04</v>
          </cell>
          <cell r="M159">
            <v>1</v>
          </cell>
          <cell r="N159">
            <v>0</v>
          </cell>
          <cell r="O159">
            <v>0</v>
          </cell>
          <cell r="P159">
            <v>0</v>
          </cell>
          <cell r="Q159">
            <v>82</v>
          </cell>
          <cell r="S159" t="str">
            <v>EQUIPE TSA</v>
          </cell>
          <cell r="T159">
            <v>39017</v>
          </cell>
        </row>
        <row r="160">
          <cell r="B160" t="str">
            <v>1.1.5</v>
          </cell>
          <cell r="C160" t="str">
            <v>230A</v>
          </cell>
          <cell r="D160" t="str">
            <v>Pátio de Homogeneização (1D)</v>
          </cell>
          <cell r="E160" t="str">
            <v>130 dias</v>
          </cell>
          <cell r="F160">
            <v>38814.333333333336</v>
          </cell>
          <cell r="G160">
            <v>38853.333333333336</v>
          </cell>
          <cell r="H160">
            <v>38853.333333333336</v>
          </cell>
          <cell r="I160">
            <v>38846.729166666664</v>
          </cell>
          <cell r="J160">
            <v>39049.729166666664</v>
          </cell>
          <cell r="K160" t="str">
            <v>NA</v>
          </cell>
          <cell r="L160">
            <v>4.3499999999999996</v>
          </cell>
          <cell r="M160">
            <v>99.5</v>
          </cell>
          <cell r="N160">
            <v>17.100000000000001</v>
          </cell>
          <cell r="O160">
            <v>17.190000000000001</v>
          </cell>
          <cell r="P160">
            <v>17.190000000000001</v>
          </cell>
          <cell r="T160">
            <v>39049</v>
          </cell>
        </row>
        <row r="161">
          <cell r="D161" t="str">
            <v>Projeto Básico</v>
          </cell>
          <cell r="E161" t="str">
            <v>77 dias</v>
          </cell>
          <cell r="F161">
            <v>38814.333333333336</v>
          </cell>
          <cell r="G161">
            <v>38853.333333333336</v>
          </cell>
          <cell r="H161">
            <v>38853.333333333336</v>
          </cell>
          <cell r="I161">
            <v>38846.729166666664</v>
          </cell>
          <cell r="J161">
            <v>38965.729166666664</v>
          </cell>
          <cell r="K161" t="str">
            <v>NA</v>
          </cell>
          <cell r="L161">
            <v>1.35</v>
          </cell>
          <cell r="M161">
            <v>31</v>
          </cell>
          <cell r="N161">
            <v>17.100000000000001</v>
          </cell>
          <cell r="O161">
            <v>55.16</v>
          </cell>
          <cell r="P161">
            <v>55.16</v>
          </cell>
          <cell r="T161">
            <v>38965</v>
          </cell>
        </row>
        <row r="162">
          <cell r="D162" t="str">
            <v>Mecânica</v>
          </cell>
          <cell r="E162" t="str">
            <v>77 dias</v>
          </cell>
          <cell r="F162">
            <v>38814.333333333336</v>
          </cell>
          <cell r="G162">
            <v>38853.333333333336</v>
          </cell>
          <cell r="H162">
            <v>38853.333333333336</v>
          </cell>
          <cell r="I162">
            <v>38846.729166666664</v>
          </cell>
          <cell r="J162">
            <v>38965.729166666664</v>
          </cell>
          <cell r="K162" t="str">
            <v>NA</v>
          </cell>
          <cell r="L162">
            <v>1.35</v>
          </cell>
          <cell r="M162">
            <v>31</v>
          </cell>
          <cell r="N162">
            <v>17.100000000000001</v>
          </cell>
          <cell r="O162">
            <v>55.16</v>
          </cell>
          <cell r="P162">
            <v>55.16</v>
          </cell>
          <cell r="T162">
            <v>38965</v>
          </cell>
        </row>
        <row r="163">
          <cell r="D163" t="str">
            <v>Desenho Básico</v>
          </cell>
          <cell r="E163" t="str">
            <v>16 dias</v>
          </cell>
          <cell r="F163">
            <v>38814.333333333336</v>
          </cell>
          <cell r="G163">
            <v>38940.333333333336</v>
          </cell>
          <cell r="H163" t="str">
            <v>NA</v>
          </cell>
          <cell r="I163">
            <v>38846.729166666664</v>
          </cell>
          <cell r="J163">
            <v>38965.729166666664</v>
          </cell>
          <cell r="K163" t="str">
            <v>NA</v>
          </cell>
          <cell r="L163">
            <v>0.52</v>
          </cell>
          <cell r="M163">
            <v>12</v>
          </cell>
          <cell r="N163">
            <v>0</v>
          </cell>
          <cell r="O163">
            <v>0</v>
          </cell>
          <cell r="P163">
            <v>0</v>
          </cell>
          <cell r="Q163" t="str">
            <v>90II</v>
          </cell>
          <cell r="R163" t="str">
            <v>173TI+15 dias</v>
          </cell>
          <cell r="S163" t="str">
            <v>EQUIPE MEC</v>
          </cell>
          <cell r="T163">
            <v>38965</v>
          </cell>
        </row>
        <row r="164">
          <cell r="B164" t="str">
            <v>BB.230.DB.01</v>
          </cell>
          <cell r="D164" t="str">
            <v>Planta e Cortes</v>
          </cell>
          <cell r="E164" t="str">
            <v>8 dias</v>
          </cell>
          <cell r="F164" t="str">
            <v>NA</v>
          </cell>
          <cell r="G164">
            <v>38940.333333333336</v>
          </cell>
          <cell r="H164" t="str">
            <v>NA</v>
          </cell>
          <cell r="I164" t="str">
            <v>NA</v>
          </cell>
          <cell r="J164">
            <v>38953.729166666664</v>
          </cell>
          <cell r="K164" t="str">
            <v>NA</v>
          </cell>
          <cell r="L164">
            <v>0.13</v>
          </cell>
          <cell r="M164">
            <v>3</v>
          </cell>
          <cell r="N164">
            <v>0</v>
          </cell>
          <cell r="O164">
            <v>0</v>
          </cell>
          <cell r="P164">
            <v>0</v>
          </cell>
          <cell r="Q164" t="str">
            <v>141II</v>
          </cell>
          <cell r="R164" t="str">
            <v>424II</v>
          </cell>
          <cell r="S164" t="str">
            <v>EQUIPE MEC</v>
          </cell>
          <cell r="T164">
            <v>38953</v>
          </cell>
        </row>
        <row r="165">
          <cell r="B165" t="str">
            <v>BB.230.DB.02</v>
          </cell>
          <cell r="D165" t="str">
            <v>By-Pass do Pátio</v>
          </cell>
          <cell r="E165" t="str">
            <v>8 dias</v>
          </cell>
          <cell r="F165" t="str">
            <v>NA</v>
          </cell>
          <cell r="G165">
            <v>38940.333333333336</v>
          </cell>
          <cell r="H165" t="str">
            <v>NA</v>
          </cell>
          <cell r="I165" t="str">
            <v>NA</v>
          </cell>
          <cell r="J165">
            <v>38953.729166666664</v>
          </cell>
          <cell r="K165" t="str">
            <v>NA</v>
          </cell>
          <cell r="L165">
            <v>0.13</v>
          </cell>
          <cell r="M165">
            <v>3</v>
          </cell>
          <cell r="N165">
            <v>0</v>
          </cell>
          <cell r="O165">
            <v>0</v>
          </cell>
          <cell r="P165">
            <v>0</v>
          </cell>
          <cell r="Q165" t="str">
            <v>141II</v>
          </cell>
          <cell r="R165">
            <v>170</v>
          </cell>
          <cell r="S165" t="str">
            <v>EQUIPE MEC</v>
          </cell>
          <cell r="T165">
            <v>38953</v>
          </cell>
        </row>
        <row r="166">
          <cell r="B166" t="str">
            <v>BB.230.DB.03</v>
          </cell>
          <cell r="D166" t="str">
            <v>Recuperadora e Empilhadeira</v>
          </cell>
          <cell r="E166" t="str">
            <v>10 dias</v>
          </cell>
          <cell r="F166" t="str">
            <v>NA</v>
          </cell>
          <cell r="G166">
            <v>38940.333333333336</v>
          </cell>
          <cell r="H166" t="str">
            <v>NA</v>
          </cell>
          <cell r="I166" t="str">
            <v>NA</v>
          </cell>
          <cell r="J166">
            <v>38957.729166666664</v>
          </cell>
          <cell r="K166" t="str">
            <v>NA</v>
          </cell>
          <cell r="L166">
            <v>0.17</v>
          </cell>
          <cell r="M166">
            <v>4</v>
          </cell>
          <cell r="N166">
            <v>0</v>
          </cell>
          <cell r="O166">
            <v>0</v>
          </cell>
          <cell r="P166">
            <v>0</v>
          </cell>
          <cell r="Q166" t="str">
            <v>141II</v>
          </cell>
          <cell r="R166">
            <v>165</v>
          </cell>
          <cell r="S166" t="str">
            <v>EQUIPE MEC</v>
          </cell>
          <cell r="T166">
            <v>38957</v>
          </cell>
        </row>
        <row r="167">
          <cell r="B167" t="str">
            <v>BB.230.DB.04</v>
          </cell>
          <cell r="D167" t="str">
            <v>Transportadores</v>
          </cell>
          <cell r="E167" t="str">
            <v>6 dias</v>
          </cell>
          <cell r="F167" t="str">
            <v>NA</v>
          </cell>
          <cell r="G167">
            <v>38958.333333333336</v>
          </cell>
          <cell r="H167" t="str">
            <v>NA</v>
          </cell>
          <cell r="I167" t="str">
            <v>NA</v>
          </cell>
          <cell r="J167">
            <v>38965.729166666664</v>
          </cell>
          <cell r="K167" t="str">
            <v>NA</v>
          </cell>
          <cell r="L167">
            <v>0.09</v>
          </cell>
          <cell r="M167">
            <v>2</v>
          </cell>
          <cell r="N167">
            <v>0</v>
          </cell>
          <cell r="O167">
            <v>0</v>
          </cell>
          <cell r="P167">
            <v>0</v>
          </cell>
          <cell r="Q167">
            <v>164</v>
          </cell>
          <cell r="S167" t="str">
            <v>EQUIPE MEC</v>
          </cell>
          <cell r="T167">
            <v>38965</v>
          </cell>
        </row>
        <row r="168">
          <cell r="B168" t="str">
            <v>BB.230.ET.01</v>
          </cell>
          <cell r="D168" t="str">
            <v>Especificação Técnica - Empilhadeira e Retomadora</v>
          </cell>
          <cell r="E168" t="str">
            <v>40 dias</v>
          </cell>
          <cell r="F168" t="str">
            <v>NA</v>
          </cell>
          <cell r="G168">
            <v>38853.333333333336</v>
          </cell>
          <cell r="H168">
            <v>38853.333333333336</v>
          </cell>
          <cell r="I168" t="str">
            <v>NA</v>
          </cell>
          <cell r="J168">
            <v>38910.729166666664</v>
          </cell>
          <cell r="K168" t="str">
            <v>NA</v>
          </cell>
          <cell r="L168">
            <v>0.71</v>
          </cell>
          <cell r="M168">
            <v>16.25</v>
          </cell>
          <cell r="N168">
            <v>14.63</v>
          </cell>
          <cell r="O168">
            <v>90</v>
          </cell>
          <cell r="P168">
            <v>90</v>
          </cell>
          <cell r="Q168" t="str">
            <v>14II</v>
          </cell>
          <cell r="R168" t="str">
            <v>171TI+60 dias</v>
          </cell>
          <cell r="S168" t="str">
            <v>EQUIPE MEC</v>
          </cell>
          <cell r="T168">
            <v>38910</v>
          </cell>
        </row>
        <row r="169">
          <cell r="B169" t="str">
            <v>BB.230.FD.01</v>
          </cell>
          <cell r="D169" t="str">
            <v>Folha De Dados - Transportadores</v>
          </cell>
          <cell r="E169" t="str">
            <v>2 dias</v>
          </cell>
          <cell r="F169" t="str">
            <v>NA</v>
          </cell>
          <cell r="G169">
            <v>38916.333333333336</v>
          </cell>
          <cell r="H169">
            <v>38916.333333333336</v>
          </cell>
          <cell r="I169" t="str">
            <v>NA</v>
          </cell>
          <cell r="J169">
            <v>38917.729166666664</v>
          </cell>
          <cell r="K169" t="str">
            <v>NA</v>
          </cell>
          <cell r="L169">
            <v>0.12</v>
          </cell>
          <cell r="M169">
            <v>2.75</v>
          </cell>
          <cell r="N169">
            <v>2.48</v>
          </cell>
          <cell r="O169">
            <v>90</v>
          </cell>
          <cell r="P169">
            <v>90</v>
          </cell>
          <cell r="Q169" t="str">
            <v>14II</v>
          </cell>
          <cell r="S169" t="str">
            <v>EQUIPE MEC</v>
          </cell>
          <cell r="T169">
            <v>38917</v>
          </cell>
        </row>
        <row r="170">
          <cell r="D170" t="str">
            <v>Projeto Detalhado</v>
          </cell>
          <cell r="E170" t="str">
            <v>43 dias</v>
          </cell>
          <cell r="F170" t="str">
            <v>NA</v>
          </cell>
          <cell r="G170">
            <v>38982.333333333336</v>
          </cell>
          <cell r="H170" t="str">
            <v>NA</v>
          </cell>
          <cell r="I170" t="str">
            <v>NA</v>
          </cell>
          <cell r="J170">
            <v>39049.729166666664</v>
          </cell>
          <cell r="K170" t="str">
            <v>NA</v>
          </cell>
          <cell r="L170">
            <v>2.99</v>
          </cell>
          <cell r="M170">
            <v>68.5</v>
          </cell>
          <cell r="N170">
            <v>0</v>
          </cell>
          <cell r="O170">
            <v>0</v>
          </cell>
          <cell r="P170">
            <v>0</v>
          </cell>
          <cell r="T170">
            <v>39049</v>
          </cell>
        </row>
        <row r="171">
          <cell r="D171" t="str">
            <v>Mecânica</v>
          </cell>
          <cell r="E171" t="str">
            <v>15 dias</v>
          </cell>
          <cell r="F171" t="str">
            <v>NA</v>
          </cell>
          <cell r="G171">
            <v>38982.333333333336</v>
          </cell>
          <cell r="H171" t="str">
            <v>NA</v>
          </cell>
          <cell r="I171" t="str">
            <v>NA</v>
          </cell>
          <cell r="J171">
            <v>39006.729166666664</v>
          </cell>
          <cell r="K171" t="str">
            <v>NA</v>
          </cell>
          <cell r="L171">
            <v>0.22</v>
          </cell>
          <cell r="M171">
            <v>5</v>
          </cell>
          <cell r="N171">
            <v>0</v>
          </cell>
          <cell r="O171">
            <v>0</v>
          </cell>
          <cell r="P171">
            <v>0</v>
          </cell>
          <cell r="T171">
            <v>39006</v>
          </cell>
        </row>
        <row r="172">
          <cell r="B172" t="str">
            <v>DB.230.DD.01</v>
          </cell>
          <cell r="D172" t="str">
            <v>Desenho De Detalhamento - Chute Para By-Pass</v>
          </cell>
          <cell r="E172" t="str">
            <v>7 dias</v>
          </cell>
          <cell r="F172" t="str">
            <v>NA</v>
          </cell>
          <cell r="G172">
            <v>38982.333333333336</v>
          </cell>
          <cell r="H172" t="str">
            <v>NA</v>
          </cell>
          <cell r="I172" t="str">
            <v>NA</v>
          </cell>
          <cell r="J172">
            <v>38992.729166666664</v>
          </cell>
          <cell r="K172" t="str">
            <v>NA</v>
          </cell>
          <cell r="L172">
            <v>0.17</v>
          </cell>
          <cell r="M172">
            <v>4</v>
          </cell>
          <cell r="N172">
            <v>0</v>
          </cell>
          <cell r="O172">
            <v>0</v>
          </cell>
          <cell r="P172">
            <v>0</v>
          </cell>
          <cell r="Q172" t="str">
            <v>30TI+30 dias;163</v>
          </cell>
          <cell r="R172">
            <v>436</v>
          </cell>
          <cell r="S172" t="str">
            <v>EQUIPE MEC</v>
          </cell>
          <cell r="T172">
            <v>38992</v>
          </cell>
        </row>
        <row r="173">
          <cell r="B173" t="str">
            <v>DB.230.PT.01</v>
          </cell>
          <cell r="D173" t="str">
            <v>Parecer Técnico - Empilhadeira e Retomadora</v>
          </cell>
          <cell r="E173" t="str">
            <v>2 dias</v>
          </cell>
          <cell r="F173" t="str">
            <v>NA</v>
          </cell>
          <cell r="G173">
            <v>39001.333333333336</v>
          </cell>
          <cell r="H173" t="str">
            <v>NA</v>
          </cell>
          <cell r="I173" t="str">
            <v>NA</v>
          </cell>
          <cell r="J173">
            <v>39006.729166666664</v>
          </cell>
          <cell r="K173" t="str">
            <v>NA</v>
          </cell>
          <cell r="L173">
            <v>0.04</v>
          </cell>
          <cell r="M173">
            <v>1</v>
          </cell>
          <cell r="N173">
            <v>0</v>
          </cell>
          <cell r="O173">
            <v>0</v>
          </cell>
          <cell r="P173">
            <v>0</v>
          </cell>
          <cell r="Q173" t="str">
            <v>166TI+60 dias</v>
          </cell>
          <cell r="S173" t="str">
            <v>EQUIPE MEC</v>
          </cell>
          <cell r="T173">
            <v>39006</v>
          </cell>
        </row>
        <row r="174">
          <cell r="D174" t="str">
            <v>Civil</v>
          </cell>
          <cell r="E174" t="str">
            <v>25 dias</v>
          </cell>
          <cell r="F174" t="str">
            <v>NA</v>
          </cell>
          <cell r="G174">
            <v>38989.333333333336</v>
          </cell>
          <cell r="H174" t="str">
            <v>NA</v>
          </cell>
          <cell r="I174" t="str">
            <v>NA</v>
          </cell>
          <cell r="J174">
            <v>39029.729166666664</v>
          </cell>
          <cell r="K174" t="str">
            <v>NA</v>
          </cell>
          <cell r="L174">
            <v>0.87</v>
          </cell>
          <cell r="M174">
            <v>20</v>
          </cell>
          <cell r="N174">
            <v>0</v>
          </cell>
          <cell r="O174">
            <v>0</v>
          </cell>
          <cell r="P174">
            <v>0</v>
          </cell>
          <cell r="T174">
            <v>39029</v>
          </cell>
        </row>
        <row r="175">
          <cell r="B175" t="str">
            <v>DC.230.DD.01</v>
          </cell>
          <cell r="D175" t="str">
            <v>Des. Det. - Fundação, Forma, Armação e Inseridos Metálicos</v>
          </cell>
          <cell r="E175" t="str">
            <v>25 dias</v>
          </cell>
          <cell r="F175" t="str">
            <v>NA</v>
          </cell>
          <cell r="G175">
            <v>38989.333333333336</v>
          </cell>
          <cell r="H175" t="str">
            <v>NA</v>
          </cell>
          <cell r="I175" t="str">
            <v>NA</v>
          </cell>
          <cell r="J175">
            <v>39029.729166666664</v>
          </cell>
          <cell r="K175" t="str">
            <v>NA</v>
          </cell>
          <cell r="L175">
            <v>0.87</v>
          </cell>
          <cell r="M175">
            <v>20</v>
          </cell>
          <cell r="N175">
            <v>0</v>
          </cell>
          <cell r="O175">
            <v>0</v>
          </cell>
          <cell r="P175">
            <v>0</v>
          </cell>
          <cell r="Q175" t="str">
            <v>161TI+15 dias</v>
          </cell>
          <cell r="R175" t="str">
            <v>176II</v>
          </cell>
          <cell r="S175" t="str">
            <v>EQUIPE CIV</v>
          </cell>
          <cell r="T175">
            <v>39029</v>
          </cell>
        </row>
        <row r="176">
          <cell r="D176" t="str">
            <v>Elétrica</v>
          </cell>
          <cell r="E176" t="str">
            <v>38 dias</v>
          </cell>
          <cell r="F176" t="str">
            <v>NA</v>
          </cell>
          <cell r="G176">
            <v>38989.333333333336</v>
          </cell>
          <cell r="H176" t="str">
            <v>NA</v>
          </cell>
          <cell r="I176" t="str">
            <v>NA</v>
          </cell>
          <cell r="J176">
            <v>39049.729166666664</v>
          </cell>
          <cell r="K176" t="str">
            <v>NA</v>
          </cell>
          <cell r="L176">
            <v>1.86</v>
          </cell>
          <cell r="M176">
            <v>42.5</v>
          </cell>
          <cell r="N176">
            <v>0</v>
          </cell>
          <cell r="O176">
            <v>0</v>
          </cell>
          <cell r="P176">
            <v>0</v>
          </cell>
          <cell r="T176">
            <v>39049</v>
          </cell>
        </row>
        <row r="177">
          <cell r="D177" t="str">
            <v>Desenho De Detalhamento</v>
          </cell>
          <cell r="E177" t="str">
            <v>38 dias</v>
          </cell>
          <cell r="F177" t="str">
            <v>NA</v>
          </cell>
          <cell r="G177">
            <v>38989.333333333336</v>
          </cell>
          <cell r="H177" t="str">
            <v>NA</v>
          </cell>
          <cell r="I177" t="str">
            <v>NA</v>
          </cell>
          <cell r="J177">
            <v>39049.729166666664</v>
          </cell>
          <cell r="K177" t="str">
            <v>NA</v>
          </cell>
          <cell r="L177">
            <v>1.35</v>
          </cell>
          <cell r="M177">
            <v>31</v>
          </cell>
          <cell r="N177">
            <v>0</v>
          </cell>
          <cell r="O177">
            <v>0</v>
          </cell>
          <cell r="P177">
            <v>0</v>
          </cell>
          <cell r="T177">
            <v>39049</v>
          </cell>
        </row>
        <row r="178">
          <cell r="B178" t="str">
            <v>DE.230.DD.01</v>
          </cell>
          <cell r="D178" t="str">
            <v>Força e Controle/  Rede Dutos/ Subestação/ Aterramento</v>
          </cell>
          <cell r="E178" t="str">
            <v>20 dias</v>
          </cell>
          <cell r="F178" t="str">
            <v>NA</v>
          </cell>
          <cell r="G178">
            <v>38989.333333333336</v>
          </cell>
          <cell r="H178" t="str">
            <v>NA</v>
          </cell>
          <cell r="I178" t="str">
            <v>NA</v>
          </cell>
          <cell r="J178">
            <v>39020.729166666664</v>
          </cell>
          <cell r="K178" t="str">
            <v>NA</v>
          </cell>
          <cell r="L178">
            <v>0.7</v>
          </cell>
          <cell r="M178">
            <v>16</v>
          </cell>
          <cell r="N178">
            <v>0</v>
          </cell>
          <cell r="O178">
            <v>0</v>
          </cell>
          <cell r="P178">
            <v>0</v>
          </cell>
          <cell r="Q178" t="str">
            <v>173II</v>
          </cell>
          <cell r="R178" t="str">
            <v>177;178</v>
          </cell>
          <cell r="S178" t="str">
            <v>EQUIPE ELE</v>
          </cell>
          <cell r="T178">
            <v>39020</v>
          </cell>
        </row>
        <row r="179">
          <cell r="B179" t="str">
            <v>DE.230.DD.02</v>
          </cell>
          <cell r="D179" t="str">
            <v>Iluminação</v>
          </cell>
          <cell r="E179" t="str">
            <v>18 dias</v>
          </cell>
          <cell r="F179" t="str">
            <v>NA</v>
          </cell>
          <cell r="G179">
            <v>39021.333333333336</v>
          </cell>
          <cell r="H179" t="str">
            <v>NA</v>
          </cell>
          <cell r="I179" t="str">
            <v>NA</v>
          </cell>
          <cell r="J179">
            <v>39049.729166666664</v>
          </cell>
          <cell r="K179" t="str">
            <v>NA</v>
          </cell>
          <cell r="L179">
            <v>0.66</v>
          </cell>
          <cell r="M179">
            <v>15</v>
          </cell>
          <cell r="N179">
            <v>0</v>
          </cell>
          <cell r="O179">
            <v>0</v>
          </cell>
          <cell r="P179">
            <v>0</v>
          </cell>
          <cell r="Q179">
            <v>176</v>
          </cell>
          <cell r="S179" t="str">
            <v>EQUIPE ELE</v>
          </cell>
          <cell r="T179">
            <v>39049</v>
          </cell>
        </row>
        <row r="180">
          <cell r="B180" t="str">
            <v>DE.230.ET.01</v>
          </cell>
          <cell r="D180" t="str">
            <v>Especificação Técnica</v>
          </cell>
          <cell r="E180" t="str">
            <v>15 dias</v>
          </cell>
          <cell r="F180" t="str">
            <v>NA</v>
          </cell>
          <cell r="G180">
            <v>39021.333333333336</v>
          </cell>
          <cell r="H180" t="str">
            <v>NA</v>
          </cell>
          <cell r="I180" t="str">
            <v>NA</v>
          </cell>
          <cell r="J180">
            <v>39044.729166666664</v>
          </cell>
          <cell r="K180" t="str">
            <v>NA</v>
          </cell>
          <cell r="L180">
            <v>0.5</v>
          </cell>
          <cell r="M180">
            <v>11.5</v>
          </cell>
          <cell r="N180">
            <v>0</v>
          </cell>
          <cell r="O180">
            <v>0</v>
          </cell>
          <cell r="P180">
            <v>0</v>
          </cell>
          <cell r="Q180">
            <v>176</v>
          </cell>
          <cell r="S180" t="str">
            <v>EQUIPE ELE</v>
          </cell>
          <cell r="T180">
            <v>39044</v>
          </cell>
        </row>
        <row r="181">
          <cell r="D181" t="str">
            <v>Instrumentação</v>
          </cell>
          <cell r="E181" t="str">
            <v>5 dias</v>
          </cell>
          <cell r="F181" t="str">
            <v>NA</v>
          </cell>
          <cell r="G181">
            <v>39038.333333333336</v>
          </cell>
          <cell r="H181" t="str">
            <v>NA</v>
          </cell>
          <cell r="I181" t="str">
            <v>NA</v>
          </cell>
          <cell r="J181">
            <v>39044.729166666664</v>
          </cell>
          <cell r="K181" t="str">
            <v>NA</v>
          </cell>
          <cell r="L181">
            <v>0.04</v>
          </cell>
          <cell r="M181">
            <v>1</v>
          </cell>
          <cell r="N181">
            <v>0</v>
          </cell>
          <cell r="O181">
            <v>0</v>
          </cell>
          <cell r="P181">
            <v>0</v>
          </cell>
          <cell r="T181">
            <v>39044</v>
          </cell>
        </row>
        <row r="182">
          <cell r="B182" t="str">
            <v>DT.230.AJ.01</v>
          </cell>
          <cell r="D182" t="str">
            <v>Arranjos/ Layout’s/ Plano Diretor - Locação De Instrumentos</v>
          </cell>
          <cell r="E182" t="str">
            <v>5 dias</v>
          </cell>
          <cell r="F182" t="str">
            <v>NA</v>
          </cell>
          <cell r="G182">
            <v>39038.333333333336</v>
          </cell>
          <cell r="H182" t="str">
            <v>NA</v>
          </cell>
          <cell r="I182" t="str">
            <v>NA</v>
          </cell>
          <cell r="J182">
            <v>39044.729166666664</v>
          </cell>
          <cell r="K182" t="str">
            <v>NA</v>
          </cell>
          <cell r="L182">
            <v>0.04</v>
          </cell>
          <cell r="M182">
            <v>1</v>
          </cell>
          <cell r="N182">
            <v>0</v>
          </cell>
          <cell r="O182">
            <v>0</v>
          </cell>
          <cell r="P182">
            <v>0</v>
          </cell>
          <cell r="Q182">
            <v>302</v>
          </cell>
          <cell r="S182" t="str">
            <v>EQUIPE TSA</v>
          </cell>
          <cell r="T182">
            <v>39044</v>
          </cell>
        </row>
        <row r="183">
          <cell r="B183" t="str">
            <v>1.1.6</v>
          </cell>
          <cell r="C183" t="str">
            <v>240A</v>
          </cell>
          <cell r="D183" t="str">
            <v>Separação Magnética de Grossos (2D)</v>
          </cell>
          <cell r="E183" t="str">
            <v>138 dias</v>
          </cell>
          <cell r="F183">
            <v>38853.333333333336</v>
          </cell>
          <cell r="G183">
            <v>38827.333333333336</v>
          </cell>
          <cell r="H183">
            <v>38827.333333333336</v>
          </cell>
          <cell r="I183">
            <v>38961.729166666664</v>
          </cell>
          <cell r="J183">
            <v>39037.729166666664</v>
          </cell>
          <cell r="K183" t="str">
            <v>NA</v>
          </cell>
          <cell r="L183">
            <v>4.3499999999999996</v>
          </cell>
          <cell r="M183">
            <v>99.63</v>
          </cell>
          <cell r="N183">
            <v>8.89</v>
          </cell>
          <cell r="O183">
            <v>8.92</v>
          </cell>
          <cell r="P183">
            <v>8.92</v>
          </cell>
          <cell r="T183">
            <v>39037</v>
          </cell>
        </row>
        <row r="184">
          <cell r="D184" t="str">
            <v>Projeto Básico</v>
          </cell>
          <cell r="E184" t="str">
            <v>77 dias</v>
          </cell>
          <cell r="F184">
            <v>38853.333333333336</v>
          </cell>
          <cell r="G184">
            <v>38827.333333333336</v>
          </cell>
          <cell r="H184">
            <v>38827.333333333336</v>
          </cell>
          <cell r="I184">
            <v>38870.729166666664</v>
          </cell>
          <cell r="J184">
            <v>38939.729166666664</v>
          </cell>
          <cell r="K184" t="str">
            <v>NA</v>
          </cell>
          <cell r="L184">
            <v>0.72</v>
          </cell>
          <cell r="M184">
            <v>16.38</v>
          </cell>
          <cell r="N184">
            <v>8.89</v>
          </cell>
          <cell r="O184">
            <v>54.27</v>
          </cell>
          <cell r="P184">
            <v>54.27</v>
          </cell>
          <cell r="T184">
            <v>38939</v>
          </cell>
        </row>
        <row r="185">
          <cell r="D185" t="str">
            <v>Processo</v>
          </cell>
          <cell r="E185" t="str">
            <v>67 dias</v>
          </cell>
          <cell r="F185">
            <v>38853.333333333336</v>
          </cell>
          <cell r="G185">
            <v>38827.333333333336</v>
          </cell>
          <cell r="H185">
            <v>38827.333333333336</v>
          </cell>
          <cell r="I185">
            <v>38859.729166666664</v>
          </cell>
          <cell r="J185">
            <v>38925.729166666664</v>
          </cell>
          <cell r="K185" t="str">
            <v>NA</v>
          </cell>
          <cell r="L185">
            <v>0.22</v>
          </cell>
          <cell r="M185">
            <v>5</v>
          </cell>
          <cell r="N185">
            <v>4.5</v>
          </cell>
          <cell r="O185">
            <v>90</v>
          </cell>
          <cell r="P185">
            <v>90</v>
          </cell>
          <cell r="T185">
            <v>38925</v>
          </cell>
        </row>
        <row r="186">
          <cell r="B186" t="str">
            <v>BP.240.FD.01</v>
          </cell>
          <cell r="D186" t="str">
            <v>FD's - Separ. Magnét. WDRE e Peneiras Desaguadoras</v>
          </cell>
          <cell r="E186" t="str">
            <v>67 dias</v>
          </cell>
          <cell r="F186">
            <v>38853.333333333336</v>
          </cell>
          <cell r="G186">
            <v>38827.333333333336</v>
          </cell>
          <cell r="H186">
            <v>38827.333333333336</v>
          </cell>
          <cell r="I186">
            <v>38859.729166666664</v>
          </cell>
          <cell r="J186">
            <v>38925.729166666664</v>
          </cell>
          <cell r="K186" t="str">
            <v>NA</v>
          </cell>
          <cell r="L186">
            <v>0.22</v>
          </cell>
          <cell r="M186">
            <v>5</v>
          </cell>
          <cell r="N186">
            <v>4.5</v>
          </cell>
          <cell r="O186">
            <v>90</v>
          </cell>
          <cell r="P186">
            <v>90</v>
          </cell>
          <cell r="Q186" t="str">
            <v>14II</v>
          </cell>
          <cell r="S186" t="str">
            <v>EQUIPE PRO</v>
          </cell>
          <cell r="T186">
            <v>38925</v>
          </cell>
        </row>
        <row r="187">
          <cell r="D187" t="str">
            <v>Mecânica</v>
          </cell>
          <cell r="E187" t="str">
            <v>74 dias</v>
          </cell>
          <cell r="F187">
            <v>38853.333333333336</v>
          </cell>
          <cell r="G187">
            <v>38833.333333333336</v>
          </cell>
          <cell r="H187">
            <v>38833.333333333336</v>
          </cell>
          <cell r="I187">
            <v>38870.729166666664</v>
          </cell>
          <cell r="J187">
            <v>38939.729166666664</v>
          </cell>
          <cell r="K187" t="str">
            <v>NA</v>
          </cell>
          <cell r="L187">
            <v>0.5</v>
          </cell>
          <cell r="M187">
            <v>11.38</v>
          </cell>
          <cell r="N187">
            <v>4.3899999999999997</v>
          </cell>
          <cell r="O187">
            <v>38.57</v>
          </cell>
          <cell r="P187">
            <v>38.57</v>
          </cell>
          <cell r="T187">
            <v>38939</v>
          </cell>
        </row>
        <row r="188">
          <cell r="B188" t="str">
            <v>BB.240.DB.01</v>
          </cell>
          <cell r="D188" t="str">
            <v>Desenho Básico - Plantas</v>
          </cell>
          <cell r="E188" t="str">
            <v>64 dias</v>
          </cell>
          <cell r="F188">
            <v>38853.333333333336</v>
          </cell>
          <cell r="G188">
            <v>38833.333333333336</v>
          </cell>
          <cell r="H188">
            <v>38833.333333333336</v>
          </cell>
          <cell r="I188">
            <v>38859.729166666664</v>
          </cell>
          <cell r="J188">
            <v>38925.729166666664</v>
          </cell>
          <cell r="K188" t="str">
            <v>NA</v>
          </cell>
          <cell r="L188">
            <v>0.15</v>
          </cell>
          <cell r="M188">
            <v>3.5</v>
          </cell>
          <cell r="N188">
            <v>3.15</v>
          </cell>
          <cell r="O188">
            <v>90</v>
          </cell>
          <cell r="P188">
            <v>90</v>
          </cell>
          <cell r="Q188" t="str">
            <v>14II</v>
          </cell>
          <cell r="R188" t="str">
            <v>187;191;194;275</v>
          </cell>
          <cell r="S188" t="str">
            <v>EQUIPE MEC[6%]</v>
          </cell>
          <cell r="T188">
            <v>38925</v>
          </cell>
        </row>
        <row r="189">
          <cell r="B189" t="str">
            <v>BB.240.DB.02</v>
          </cell>
          <cell r="D189" t="str">
            <v>Desenho Básico - Transportadores</v>
          </cell>
          <cell r="E189" t="str">
            <v>10 dias</v>
          </cell>
          <cell r="F189">
            <v>38860.333333333336</v>
          </cell>
          <cell r="G189">
            <v>38926.333333333336</v>
          </cell>
          <cell r="H189" t="str">
            <v>NA</v>
          </cell>
          <cell r="I189">
            <v>38867.729166666664</v>
          </cell>
          <cell r="J189">
            <v>38939.729166666664</v>
          </cell>
          <cell r="K189" t="str">
            <v>NA</v>
          </cell>
          <cell r="L189">
            <v>0.17</v>
          </cell>
          <cell r="M189">
            <v>4</v>
          </cell>
          <cell r="N189">
            <v>0</v>
          </cell>
          <cell r="O189">
            <v>0</v>
          </cell>
          <cell r="P189">
            <v>0</v>
          </cell>
          <cell r="Q189">
            <v>186</v>
          </cell>
          <cell r="R189" t="str">
            <v>188II;191</v>
          </cell>
          <cell r="S189" t="str">
            <v>EQUIPE MEC</v>
          </cell>
          <cell r="T189">
            <v>38939</v>
          </cell>
        </row>
        <row r="190">
          <cell r="B190" t="str">
            <v>BB.240.FD.01</v>
          </cell>
          <cell r="D190" t="str">
            <v>Folha De Dados - Transportadores</v>
          </cell>
          <cell r="E190" t="str">
            <v>4 dias</v>
          </cell>
          <cell r="F190">
            <v>38860.333333333336</v>
          </cell>
          <cell r="G190">
            <v>38936.333333333336</v>
          </cell>
          <cell r="H190">
            <v>38936.333333333336</v>
          </cell>
          <cell r="I190">
            <v>38870.729166666664</v>
          </cell>
          <cell r="J190">
            <v>38939.729166666664</v>
          </cell>
          <cell r="K190" t="str">
            <v>NA</v>
          </cell>
          <cell r="L190">
            <v>0.17</v>
          </cell>
          <cell r="M190">
            <v>3.88</v>
          </cell>
          <cell r="N190">
            <v>1.24</v>
          </cell>
          <cell r="O190">
            <v>31.94</v>
          </cell>
          <cell r="P190">
            <v>31.94</v>
          </cell>
          <cell r="Q190" t="str">
            <v>187II</v>
          </cell>
          <cell r="S190" t="str">
            <v>EQUIPE MEC</v>
          </cell>
          <cell r="T190">
            <v>38939</v>
          </cell>
        </row>
        <row r="191">
          <cell r="D191" t="str">
            <v>Projeto Detalhado</v>
          </cell>
          <cell r="E191" t="str">
            <v>71 dias</v>
          </cell>
          <cell r="F191">
            <v>38895.333333333336</v>
          </cell>
          <cell r="G191">
            <v>38926.333333333336</v>
          </cell>
          <cell r="H191" t="str">
            <v>NA</v>
          </cell>
          <cell r="I191">
            <v>38961.729166666664</v>
          </cell>
          <cell r="J191">
            <v>39037.729166666664</v>
          </cell>
          <cell r="K191" t="str">
            <v>NA</v>
          </cell>
          <cell r="L191">
            <v>3.64</v>
          </cell>
          <cell r="M191">
            <v>83.25</v>
          </cell>
          <cell r="N191">
            <v>0</v>
          </cell>
          <cell r="O191">
            <v>0</v>
          </cell>
          <cell r="P191">
            <v>0</v>
          </cell>
          <cell r="T191">
            <v>39037</v>
          </cell>
        </row>
        <row r="192">
          <cell r="D192" t="str">
            <v>Mecânica</v>
          </cell>
          <cell r="E192" t="str">
            <v>21 dias</v>
          </cell>
          <cell r="F192">
            <v>38895.333333333336</v>
          </cell>
          <cell r="G192">
            <v>38952.333333333336</v>
          </cell>
          <cell r="H192" t="str">
            <v>NA</v>
          </cell>
          <cell r="I192">
            <v>38937.729166666664</v>
          </cell>
          <cell r="J192">
            <v>38982.729166666664</v>
          </cell>
          <cell r="K192" t="str">
            <v>NA</v>
          </cell>
          <cell r="L192">
            <v>0.92</v>
          </cell>
          <cell r="M192">
            <v>21</v>
          </cell>
          <cell r="N192">
            <v>0</v>
          </cell>
          <cell r="O192">
            <v>0</v>
          </cell>
          <cell r="P192">
            <v>0</v>
          </cell>
          <cell r="T192">
            <v>38982</v>
          </cell>
        </row>
        <row r="193">
          <cell r="B193" t="str">
            <v>DB.240.DD.02</v>
          </cell>
          <cell r="D193" t="str">
            <v xml:space="preserve">Desenho De Detalhamento - Caldeiraria/ Chutes/ Apoio Peneiras  </v>
          </cell>
          <cell r="E193" t="str">
            <v>21 dias</v>
          </cell>
          <cell r="F193">
            <v>38895.333333333336</v>
          </cell>
          <cell r="G193">
            <v>38952.333333333336</v>
          </cell>
          <cell r="H193" t="str">
            <v>NA</v>
          </cell>
          <cell r="I193">
            <v>38923.729166666664</v>
          </cell>
          <cell r="J193">
            <v>38982.729166666664</v>
          </cell>
          <cell r="K193" t="str">
            <v>NA</v>
          </cell>
          <cell r="L193">
            <v>0.7</v>
          </cell>
          <cell r="M193">
            <v>16</v>
          </cell>
          <cell r="N193">
            <v>0</v>
          </cell>
          <cell r="O193">
            <v>0</v>
          </cell>
          <cell r="P193">
            <v>0</v>
          </cell>
          <cell r="Q193" t="str">
            <v>30TI+10 dias;186;187</v>
          </cell>
          <cell r="R193" t="str">
            <v>192TT</v>
          </cell>
          <cell r="S193" t="str">
            <v>EQUIPE MEC</v>
          </cell>
          <cell r="T193">
            <v>38982</v>
          </cell>
        </row>
        <row r="194">
          <cell r="B194" t="str">
            <v>DB.240.DM.01</v>
          </cell>
          <cell r="D194" t="str">
            <v>Diagrama De Montagem</v>
          </cell>
          <cell r="E194" t="str">
            <v>9 dias</v>
          </cell>
          <cell r="F194">
            <v>38924.333333333336</v>
          </cell>
          <cell r="G194">
            <v>38972.333333333336</v>
          </cell>
          <cell r="H194" t="str">
            <v>NA</v>
          </cell>
          <cell r="I194">
            <v>38937.729166666664</v>
          </cell>
          <cell r="J194">
            <v>38982.729166666664</v>
          </cell>
          <cell r="K194" t="str">
            <v>NA</v>
          </cell>
          <cell r="L194">
            <v>0.22</v>
          </cell>
          <cell r="M194">
            <v>5</v>
          </cell>
          <cell r="N194">
            <v>0</v>
          </cell>
          <cell r="O194">
            <v>0</v>
          </cell>
          <cell r="P194">
            <v>0</v>
          </cell>
          <cell r="Q194" t="str">
            <v>191TT</v>
          </cell>
          <cell r="R194">
            <v>196</v>
          </cell>
          <cell r="S194" t="str">
            <v>EQUIPE MEC</v>
          </cell>
          <cell r="T194">
            <v>38982</v>
          </cell>
        </row>
        <row r="195">
          <cell r="D195" t="str">
            <v>Civil</v>
          </cell>
          <cell r="E195" t="str">
            <v>30 dias</v>
          </cell>
          <cell r="F195">
            <v>38924.333333333336</v>
          </cell>
          <cell r="G195">
            <v>38926.333333333336</v>
          </cell>
          <cell r="H195" t="str">
            <v>NA</v>
          </cell>
          <cell r="I195">
            <v>38933.729166666664</v>
          </cell>
          <cell r="J195">
            <v>38973.729166666664</v>
          </cell>
          <cell r="K195" t="str">
            <v>NA</v>
          </cell>
          <cell r="L195">
            <v>0.17</v>
          </cell>
          <cell r="M195">
            <v>4</v>
          </cell>
          <cell r="N195">
            <v>0</v>
          </cell>
          <cell r="O195">
            <v>0</v>
          </cell>
          <cell r="P195">
            <v>0</v>
          </cell>
          <cell r="T195">
            <v>38973</v>
          </cell>
        </row>
        <row r="196">
          <cell r="B196" t="str">
            <v>DC.240.DD.01</v>
          </cell>
          <cell r="D196" t="str">
            <v>Desenho De Detalhamento - Fundação, Forma, Armação e Piso</v>
          </cell>
          <cell r="E196" t="str">
            <v>30 dias</v>
          </cell>
          <cell r="F196">
            <v>38924.333333333336</v>
          </cell>
          <cell r="G196">
            <v>38926.333333333336</v>
          </cell>
          <cell r="H196" t="str">
            <v>NA</v>
          </cell>
          <cell r="I196">
            <v>38933.729166666664</v>
          </cell>
          <cell r="J196">
            <v>38973.729166666664</v>
          </cell>
          <cell r="K196" t="str">
            <v>NA</v>
          </cell>
          <cell r="L196">
            <v>0.17</v>
          </cell>
          <cell r="M196">
            <v>4</v>
          </cell>
          <cell r="N196">
            <v>0</v>
          </cell>
          <cell r="O196">
            <v>0</v>
          </cell>
          <cell r="P196">
            <v>0</v>
          </cell>
          <cell r="Q196">
            <v>186</v>
          </cell>
          <cell r="R196">
            <v>201</v>
          </cell>
          <cell r="S196" t="str">
            <v>EQUIPE CIV[23%]</v>
          </cell>
          <cell r="T196">
            <v>38973</v>
          </cell>
        </row>
        <row r="197">
          <cell r="D197" t="str">
            <v>Estrutura Metálica</v>
          </cell>
          <cell r="E197" t="str">
            <v>25 dias</v>
          </cell>
          <cell r="F197">
            <v>38924.333333333336</v>
          </cell>
          <cell r="G197">
            <v>38985.333333333336</v>
          </cell>
          <cell r="H197" t="str">
            <v>NA</v>
          </cell>
          <cell r="I197">
            <v>38961.729166666664</v>
          </cell>
          <cell r="J197">
            <v>39021.729166666664</v>
          </cell>
          <cell r="K197" t="str">
            <v>NA</v>
          </cell>
          <cell r="L197">
            <v>1.89</v>
          </cell>
          <cell r="M197">
            <v>43.25</v>
          </cell>
          <cell r="N197">
            <v>0</v>
          </cell>
          <cell r="O197">
            <v>0</v>
          </cell>
          <cell r="P197">
            <v>0</v>
          </cell>
          <cell r="T197">
            <v>39021</v>
          </cell>
        </row>
        <row r="198">
          <cell r="B198" t="str">
            <v>DD.240.DP.01</v>
          </cell>
          <cell r="D198" t="str">
            <v>Desenho De Projeto - Peneiramento</v>
          </cell>
          <cell r="E198" t="str">
            <v>20 dias</v>
          </cell>
          <cell r="F198">
            <v>38924.333333333336</v>
          </cell>
          <cell r="G198">
            <v>38985.333333333336</v>
          </cell>
          <cell r="H198" t="str">
            <v>NA</v>
          </cell>
          <cell r="I198">
            <v>38953.729166666664</v>
          </cell>
          <cell r="J198">
            <v>39014.729166666664</v>
          </cell>
          <cell r="K198" t="str">
            <v>NA</v>
          </cell>
          <cell r="L198">
            <v>0.79</v>
          </cell>
          <cell r="M198">
            <v>18</v>
          </cell>
          <cell r="N198">
            <v>0</v>
          </cell>
          <cell r="O198">
            <v>0</v>
          </cell>
          <cell r="P198">
            <v>0</v>
          </cell>
          <cell r="Q198">
            <v>192</v>
          </cell>
          <cell r="R198" t="str">
            <v>197;198II</v>
          </cell>
          <cell r="S198" t="str">
            <v>EQUIPE MET</v>
          </cell>
          <cell r="T198">
            <v>39014</v>
          </cell>
        </row>
        <row r="199">
          <cell r="B199" t="str">
            <v>DD.240.LM.01</v>
          </cell>
          <cell r="D199" t="str">
            <v>Lista De Materiais - Peneiramento</v>
          </cell>
          <cell r="E199" t="str">
            <v>1 dia</v>
          </cell>
          <cell r="F199">
            <v>38954.333333333336</v>
          </cell>
          <cell r="G199">
            <v>39015.333333333336</v>
          </cell>
          <cell r="H199" t="str">
            <v>NA</v>
          </cell>
          <cell r="I199">
            <v>38957.729166666664</v>
          </cell>
          <cell r="J199">
            <v>39015.729166666664</v>
          </cell>
          <cell r="K199" t="str">
            <v>NA</v>
          </cell>
          <cell r="L199">
            <v>0.01</v>
          </cell>
          <cell r="M199">
            <v>0.25</v>
          </cell>
          <cell r="N199">
            <v>0</v>
          </cell>
          <cell r="O199">
            <v>0</v>
          </cell>
          <cell r="P199">
            <v>0</v>
          </cell>
          <cell r="Q199">
            <v>196</v>
          </cell>
          <cell r="S199" t="str">
            <v>EQUIPE MET</v>
          </cell>
          <cell r="T199">
            <v>39015</v>
          </cell>
        </row>
        <row r="200">
          <cell r="B200" t="str">
            <v>DD.240.MC.01</v>
          </cell>
          <cell r="D200" t="str">
            <v>Memória De Cálculo - Peneiramento</v>
          </cell>
          <cell r="E200" t="str">
            <v>25 dias</v>
          </cell>
          <cell r="F200">
            <v>38924.333333333336</v>
          </cell>
          <cell r="G200">
            <v>38985.333333333336</v>
          </cell>
          <cell r="H200" t="str">
            <v>NA</v>
          </cell>
          <cell r="I200">
            <v>38961.729166666664</v>
          </cell>
          <cell r="J200">
            <v>39021.729166666664</v>
          </cell>
          <cell r="K200" t="str">
            <v>NA</v>
          </cell>
          <cell r="L200">
            <v>1.0900000000000001</v>
          </cell>
          <cell r="M200">
            <v>25</v>
          </cell>
          <cell r="N200">
            <v>0</v>
          </cell>
          <cell r="O200">
            <v>0</v>
          </cell>
          <cell r="P200">
            <v>0</v>
          </cell>
          <cell r="Q200" t="str">
            <v>196II</v>
          </cell>
          <cell r="S200" t="str">
            <v>EQUIPE MET</v>
          </cell>
          <cell r="T200">
            <v>39021</v>
          </cell>
        </row>
        <row r="201">
          <cell r="D201" t="str">
            <v>Elétrica</v>
          </cell>
          <cell r="E201" t="str">
            <v>29 dias</v>
          </cell>
          <cell r="F201">
            <v>38933.333333333336</v>
          </cell>
          <cell r="G201">
            <v>38974.333333333336</v>
          </cell>
          <cell r="H201" t="str">
            <v>NA</v>
          </cell>
          <cell r="I201">
            <v>38961.729166666664</v>
          </cell>
          <cell r="J201">
            <v>39016.729166666664</v>
          </cell>
          <cell r="K201" t="str">
            <v>NA</v>
          </cell>
          <cell r="L201">
            <v>0.56999999999999995</v>
          </cell>
          <cell r="M201">
            <v>13</v>
          </cell>
          <cell r="N201">
            <v>0</v>
          </cell>
          <cell r="O201">
            <v>0</v>
          </cell>
          <cell r="P201">
            <v>0</v>
          </cell>
          <cell r="T201">
            <v>39016</v>
          </cell>
        </row>
        <row r="202">
          <cell r="D202" t="str">
            <v>Desenho De Detalhamento</v>
          </cell>
          <cell r="E202" t="str">
            <v>22 dias</v>
          </cell>
          <cell r="F202">
            <v>38933.333333333336</v>
          </cell>
          <cell r="G202">
            <v>38974.333333333336</v>
          </cell>
          <cell r="H202" t="str">
            <v>NA</v>
          </cell>
          <cell r="I202">
            <v>38951.729166666664</v>
          </cell>
          <cell r="J202">
            <v>39007.729166666664</v>
          </cell>
          <cell r="K202" t="str">
            <v>NA</v>
          </cell>
          <cell r="L202">
            <v>0.44</v>
          </cell>
          <cell r="M202">
            <v>10</v>
          </cell>
          <cell r="N202">
            <v>0</v>
          </cell>
          <cell r="O202">
            <v>0</v>
          </cell>
          <cell r="P202">
            <v>0</v>
          </cell>
          <cell r="R202">
            <v>203</v>
          </cell>
          <cell r="T202">
            <v>39007</v>
          </cell>
        </row>
        <row r="203">
          <cell r="B203" t="str">
            <v>DE.240.DD.01</v>
          </cell>
          <cell r="D203" t="str">
            <v>Disposição De Força, Controle e Aterramento</v>
          </cell>
          <cell r="E203" t="str">
            <v>11 dias</v>
          </cell>
          <cell r="F203">
            <v>38933.333333333336</v>
          </cell>
          <cell r="G203">
            <v>38974.333333333336</v>
          </cell>
          <cell r="H203" t="str">
            <v>NA</v>
          </cell>
          <cell r="I203">
            <v>38951.729166666664</v>
          </cell>
          <cell r="J203">
            <v>38988.729166666664</v>
          </cell>
          <cell r="K203" t="str">
            <v>NA</v>
          </cell>
          <cell r="L203">
            <v>0.22</v>
          </cell>
          <cell r="M203">
            <v>5</v>
          </cell>
          <cell r="N203">
            <v>0</v>
          </cell>
          <cell r="O203">
            <v>0</v>
          </cell>
          <cell r="P203">
            <v>0</v>
          </cell>
          <cell r="Q203">
            <v>194</v>
          </cell>
          <cell r="R203">
            <v>202</v>
          </cell>
          <cell r="S203" t="str">
            <v>EQUIPE ELE</v>
          </cell>
          <cell r="T203">
            <v>38988</v>
          </cell>
        </row>
        <row r="204">
          <cell r="B204" t="str">
            <v>DE.240.DD.02</v>
          </cell>
          <cell r="D204" t="str">
            <v>Iluminação</v>
          </cell>
          <cell r="E204" t="str">
            <v>11 dias</v>
          </cell>
          <cell r="F204">
            <v>38933.333333333336</v>
          </cell>
          <cell r="G204">
            <v>38989.333333333336</v>
          </cell>
          <cell r="H204" t="str">
            <v>NA</v>
          </cell>
          <cell r="I204">
            <v>38951.729166666664</v>
          </cell>
          <cell r="J204">
            <v>39007.729166666664</v>
          </cell>
          <cell r="K204" t="str">
            <v>NA</v>
          </cell>
          <cell r="L204">
            <v>0.22</v>
          </cell>
          <cell r="M204">
            <v>5</v>
          </cell>
          <cell r="N204">
            <v>0</v>
          </cell>
          <cell r="O204">
            <v>0</v>
          </cell>
          <cell r="P204">
            <v>0</v>
          </cell>
          <cell r="Q204">
            <v>201</v>
          </cell>
          <cell r="S204" t="str">
            <v>EQUIPE ELE</v>
          </cell>
          <cell r="T204">
            <v>39007</v>
          </cell>
        </row>
        <row r="205">
          <cell r="B205" t="str">
            <v>DE.240.LC.01</v>
          </cell>
          <cell r="D205" t="str">
            <v>Lista De Linhas/ Cabos</v>
          </cell>
          <cell r="E205" t="str">
            <v>7 dias</v>
          </cell>
          <cell r="F205">
            <v>38952.333333333336</v>
          </cell>
          <cell r="G205">
            <v>39008.333333333336</v>
          </cell>
          <cell r="H205" t="str">
            <v>NA</v>
          </cell>
          <cell r="I205">
            <v>38961.729166666664</v>
          </cell>
          <cell r="J205">
            <v>39016.729166666664</v>
          </cell>
          <cell r="K205" t="str">
            <v>NA</v>
          </cell>
          <cell r="L205">
            <v>0.13</v>
          </cell>
          <cell r="M205">
            <v>3</v>
          </cell>
          <cell r="N205">
            <v>0</v>
          </cell>
          <cell r="O205">
            <v>0</v>
          </cell>
          <cell r="P205">
            <v>0</v>
          </cell>
          <cell r="Q205">
            <v>200</v>
          </cell>
          <cell r="S205" t="str">
            <v>EQUIPE ELE</v>
          </cell>
          <cell r="T205">
            <v>39016</v>
          </cell>
        </row>
        <row r="206">
          <cell r="D206" t="str">
            <v>Instrumentação</v>
          </cell>
          <cell r="E206" t="str">
            <v>8 dias</v>
          </cell>
          <cell r="F206">
            <v>38924.333333333336</v>
          </cell>
          <cell r="G206">
            <v>39027.333333333336</v>
          </cell>
          <cell r="H206" t="str">
            <v>NA</v>
          </cell>
          <cell r="I206">
            <v>38936.729166666664</v>
          </cell>
          <cell r="J206">
            <v>39037.729166666664</v>
          </cell>
          <cell r="K206" t="str">
            <v>NA</v>
          </cell>
          <cell r="L206">
            <v>0.09</v>
          </cell>
          <cell r="M206">
            <v>2</v>
          </cell>
          <cell r="N206">
            <v>0</v>
          </cell>
          <cell r="O206">
            <v>0</v>
          </cell>
          <cell r="P206">
            <v>0</v>
          </cell>
          <cell r="T206">
            <v>39037</v>
          </cell>
        </row>
        <row r="207">
          <cell r="B207" t="str">
            <v>DT.240.AJ.01</v>
          </cell>
          <cell r="D207" t="str">
            <v>Arranjos/ Layout’s/ Plano Diretor - Locação De Instrumentos</v>
          </cell>
          <cell r="E207" t="str">
            <v>8 dias</v>
          </cell>
          <cell r="F207">
            <v>38924.333333333336</v>
          </cell>
          <cell r="G207">
            <v>39027.333333333336</v>
          </cell>
          <cell r="H207" t="str">
            <v>NA</v>
          </cell>
          <cell r="I207">
            <v>38936.729166666664</v>
          </cell>
          <cell r="J207">
            <v>39037.729166666664</v>
          </cell>
          <cell r="K207" t="str">
            <v>NA</v>
          </cell>
          <cell r="L207">
            <v>0.09</v>
          </cell>
          <cell r="M207">
            <v>2</v>
          </cell>
          <cell r="N207">
            <v>0</v>
          </cell>
          <cell r="O207">
            <v>0</v>
          </cell>
          <cell r="P207">
            <v>0</v>
          </cell>
          <cell r="Q207">
            <v>417</v>
          </cell>
          <cell r="S207" t="str">
            <v>EQUIPE TSA</v>
          </cell>
          <cell r="T207">
            <v>39037</v>
          </cell>
        </row>
        <row r="208">
          <cell r="B208" t="str">
            <v>1.1.7</v>
          </cell>
          <cell r="C208" t="str">
            <v>245A</v>
          </cell>
          <cell r="D208" t="str">
            <v>Circuito de Espirais (1C)</v>
          </cell>
          <cell r="E208" t="str">
            <v>109 dias</v>
          </cell>
          <cell r="F208">
            <v>38833.333333333336</v>
          </cell>
          <cell r="G208">
            <v>38855.333333333336</v>
          </cell>
          <cell r="H208">
            <v>38855.333333333336</v>
          </cell>
          <cell r="I208">
            <v>38909.375</v>
          </cell>
          <cell r="J208">
            <v>39017.729166666664</v>
          </cell>
          <cell r="K208" t="str">
            <v>NA</v>
          </cell>
          <cell r="L208">
            <v>2.48</v>
          </cell>
          <cell r="M208">
            <v>56.63</v>
          </cell>
          <cell r="N208">
            <v>16.38</v>
          </cell>
          <cell r="O208">
            <v>28.92</v>
          </cell>
          <cell r="P208">
            <v>28.92</v>
          </cell>
          <cell r="T208">
            <v>39017</v>
          </cell>
        </row>
        <row r="209">
          <cell r="D209" t="str">
            <v>Projeto Básico</v>
          </cell>
          <cell r="E209" t="str">
            <v>65 dias</v>
          </cell>
          <cell r="F209">
            <v>38833.333333333336</v>
          </cell>
          <cell r="G209">
            <v>38855.333333333336</v>
          </cell>
          <cell r="H209">
            <v>38855.333333333336</v>
          </cell>
          <cell r="I209">
            <v>38853.729166666664</v>
          </cell>
          <cell r="J209">
            <v>38951.729166666664</v>
          </cell>
          <cell r="K209" t="str">
            <v>NA</v>
          </cell>
          <cell r="L209">
            <v>1.36</v>
          </cell>
          <cell r="M209">
            <v>31.13</v>
          </cell>
          <cell r="N209">
            <v>16.38</v>
          </cell>
          <cell r="O209">
            <v>52.61</v>
          </cell>
          <cell r="P209">
            <v>52.61</v>
          </cell>
          <cell r="T209">
            <v>38951</v>
          </cell>
        </row>
        <row r="210">
          <cell r="D210" t="str">
            <v>Processo</v>
          </cell>
          <cell r="E210" t="str">
            <v>3 dias</v>
          </cell>
          <cell r="F210">
            <v>38833.333333333336</v>
          </cell>
          <cell r="G210">
            <v>38929.333333333336</v>
          </cell>
          <cell r="H210">
            <v>38929.333333333336</v>
          </cell>
          <cell r="I210">
            <v>38839.729166666664</v>
          </cell>
          <cell r="J210">
            <v>38931.729166666664</v>
          </cell>
          <cell r="K210" t="str">
            <v>NA</v>
          </cell>
          <cell r="L210">
            <v>0.16</v>
          </cell>
          <cell r="M210">
            <v>3.75</v>
          </cell>
          <cell r="N210">
            <v>2.5299999999999998</v>
          </cell>
          <cell r="O210">
            <v>67.33</v>
          </cell>
          <cell r="P210">
            <v>67.33</v>
          </cell>
          <cell r="T210">
            <v>38931</v>
          </cell>
        </row>
        <row r="211">
          <cell r="B211" t="str">
            <v>BP.245.FD.01</v>
          </cell>
          <cell r="D211" t="str">
            <v>Folha De Dados - Espirais de Humphreys/ Hidrociclones</v>
          </cell>
          <cell r="E211" t="str">
            <v>3 dias</v>
          </cell>
          <cell r="F211">
            <v>38833.333333333336</v>
          </cell>
          <cell r="G211">
            <v>38929.333333333336</v>
          </cell>
          <cell r="H211">
            <v>38929.333333333336</v>
          </cell>
          <cell r="I211">
            <v>38839.729166666664</v>
          </cell>
          <cell r="J211">
            <v>38931.729166666664</v>
          </cell>
          <cell r="K211" t="str">
            <v>NA</v>
          </cell>
          <cell r="L211">
            <v>0.16</v>
          </cell>
          <cell r="M211">
            <v>3.75</v>
          </cell>
          <cell r="N211">
            <v>2.5299999999999998</v>
          </cell>
          <cell r="O211">
            <v>67.33</v>
          </cell>
          <cell r="P211">
            <v>67.33</v>
          </cell>
          <cell r="Q211" t="str">
            <v>14II</v>
          </cell>
          <cell r="S211" t="str">
            <v>EQUIPE PRO</v>
          </cell>
          <cell r="T211">
            <v>38931</v>
          </cell>
        </row>
        <row r="212">
          <cell r="D212" t="str">
            <v>Mecânica</v>
          </cell>
          <cell r="E212" t="str">
            <v>30 dias</v>
          </cell>
          <cell r="F212">
            <v>38839.333333333336</v>
          </cell>
          <cell r="G212">
            <v>38905.333333333336</v>
          </cell>
          <cell r="H212">
            <v>38905.333333333336</v>
          </cell>
          <cell r="I212">
            <v>38853.729166666664</v>
          </cell>
          <cell r="J212">
            <v>38950.729166666664</v>
          </cell>
          <cell r="K212" t="str">
            <v>NA</v>
          </cell>
          <cell r="L212">
            <v>0.28000000000000003</v>
          </cell>
          <cell r="M212">
            <v>6.5</v>
          </cell>
          <cell r="N212">
            <v>1.25</v>
          </cell>
          <cell r="O212">
            <v>19.23</v>
          </cell>
          <cell r="P212">
            <v>19.23</v>
          </cell>
          <cell r="T212">
            <v>38950</v>
          </cell>
        </row>
        <row r="213">
          <cell r="B213" t="str">
            <v>BB.245.DB.01</v>
          </cell>
          <cell r="D213" t="str">
            <v>Desenho Básico - Planta e Cortes</v>
          </cell>
          <cell r="E213" t="str">
            <v>25 dias</v>
          </cell>
          <cell r="F213">
            <v>38839.333333333336</v>
          </cell>
          <cell r="G213">
            <v>38905.333333333336</v>
          </cell>
          <cell r="H213" t="str">
            <v>NA</v>
          </cell>
          <cell r="I213">
            <v>38853.729166666664</v>
          </cell>
          <cell r="J213">
            <v>38939.729166666664</v>
          </cell>
          <cell r="K213" t="str">
            <v>NA</v>
          </cell>
          <cell r="L213">
            <v>0.22</v>
          </cell>
          <cell r="M213">
            <v>5</v>
          </cell>
          <cell r="N213">
            <v>0</v>
          </cell>
          <cell r="O213">
            <v>0</v>
          </cell>
          <cell r="P213">
            <v>0</v>
          </cell>
          <cell r="Q213" t="str">
            <v>119II</v>
          </cell>
          <cell r="R213" t="str">
            <v>212;216;220;223</v>
          </cell>
          <cell r="S213" t="str">
            <v>EQUIPE MEC[48%]</v>
          </cell>
          <cell r="T213">
            <v>38939</v>
          </cell>
        </row>
        <row r="214">
          <cell r="B214" t="str">
            <v>BB.245.DB.02</v>
          </cell>
          <cell r="D214" t="str">
            <v>Desenho Básico - Distribuidor Polpa</v>
          </cell>
          <cell r="E214" t="str">
            <v>5 dias</v>
          </cell>
          <cell r="F214" t="str">
            <v>NA</v>
          </cell>
          <cell r="G214">
            <v>38940.333333333336</v>
          </cell>
          <cell r="H214">
            <v>38940.333333333336</v>
          </cell>
          <cell r="I214" t="str">
            <v>NA</v>
          </cell>
          <cell r="J214">
            <v>38950.729166666664</v>
          </cell>
          <cell r="K214" t="str">
            <v>NA</v>
          </cell>
          <cell r="L214">
            <v>7.0000000000000007E-2</v>
          </cell>
          <cell r="M214">
            <v>1.5</v>
          </cell>
          <cell r="N214">
            <v>1.25</v>
          </cell>
          <cell r="O214">
            <v>83.33</v>
          </cell>
          <cell r="P214">
            <v>83.33</v>
          </cell>
          <cell r="Q214">
            <v>211</v>
          </cell>
          <cell r="R214">
            <v>220</v>
          </cell>
          <cell r="S214" t="str">
            <v>EQUIPE MEC</v>
          </cell>
          <cell r="T214">
            <v>38950</v>
          </cell>
        </row>
        <row r="215">
          <cell r="D215" t="str">
            <v>Tubulação</v>
          </cell>
          <cell r="E215" t="str">
            <v>28 dias</v>
          </cell>
          <cell r="F215" t="str">
            <v>NA</v>
          </cell>
          <cell r="G215">
            <v>38855.333333333336</v>
          </cell>
          <cell r="H215">
            <v>38855.333333333336</v>
          </cell>
          <cell r="I215" t="str">
            <v>NA</v>
          </cell>
          <cell r="J215">
            <v>38896.729166666664</v>
          </cell>
          <cell r="K215" t="str">
            <v>NA</v>
          </cell>
          <cell r="L215">
            <v>0.61</v>
          </cell>
          <cell r="M215">
            <v>14</v>
          </cell>
          <cell r="N215">
            <v>12.6</v>
          </cell>
          <cell r="O215">
            <v>90</v>
          </cell>
          <cell r="P215">
            <v>90</v>
          </cell>
          <cell r="T215">
            <v>38896</v>
          </cell>
        </row>
        <row r="216">
          <cell r="B216" t="str">
            <v>BH.245.MC.01</v>
          </cell>
          <cell r="D216" t="str">
            <v>Memória De Cálculo</v>
          </cell>
          <cell r="E216" t="str">
            <v>28 dias</v>
          </cell>
          <cell r="F216" t="str">
            <v>NA</v>
          </cell>
          <cell r="G216">
            <v>38855.333333333336</v>
          </cell>
          <cell r="H216">
            <v>38855.333333333336</v>
          </cell>
          <cell r="I216" t="str">
            <v>NA</v>
          </cell>
          <cell r="J216">
            <v>38896.729166666664</v>
          </cell>
          <cell r="K216" t="str">
            <v>NA</v>
          </cell>
          <cell r="L216">
            <v>0.61</v>
          </cell>
          <cell r="M216">
            <v>14</v>
          </cell>
          <cell r="N216">
            <v>12.6</v>
          </cell>
          <cell r="O216">
            <v>90</v>
          </cell>
          <cell r="P216">
            <v>90</v>
          </cell>
          <cell r="Q216" t="str">
            <v>39II</v>
          </cell>
          <cell r="T216">
            <v>38896</v>
          </cell>
        </row>
        <row r="217">
          <cell r="D217" t="str">
            <v>Estrutura Metálica</v>
          </cell>
          <cell r="E217" t="str">
            <v>6 dias</v>
          </cell>
          <cell r="F217" t="str">
            <v>NA</v>
          </cell>
          <cell r="G217">
            <v>38940.333333333336</v>
          </cell>
          <cell r="H217" t="str">
            <v>NA</v>
          </cell>
          <cell r="I217" t="str">
            <v>NA</v>
          </cell>
          <cell r="J217">
            <v>38951.729166666664</v>
          </cell>
          <cell r="K217" t="str">
            <v>NA</v>
          </cell>
          <cell r="L217">
            <v>0.3</v>
          </cell>
          <cell r="M217">
            <v>6.88</v>
          </cell>
          <cell r="N217">
            <v>0</v>
          </cell>
          <cell r="O217">
            <v>0</v>
          </cell>
          <cell r="P217">
            <v>0</v>
          </cell>
          <cell r="T217">
            <v>38951</v>
          </cell>
        </row>
        <row r="218">
          <cell r="B218" t="str">
            <v>BD.245.MC.01</v>
          </cell>
          <cell r="D218" t="str">
            <v>Memória De Cálculo</v>
          </cell>
          <cell r="E218" t="str">
            <v>6 dias</v>
          </cell>
          <cell r="F218" t="str">
            <v>NA</v>
          </cell>
          <cell r="G218">
            <v>38940.333333333336</v>
          </cell>
          <cell r="H218" t="str">
            <v>NA</v>
          </cell>
          <cell r="I218" t="str">
            <v>NA</v>
          </cell>
          <cell r="J218">
            <v>38951.729166666664</v>
          </cell>
          <cell r="K218" t="str">
            <v>NA</v>
          </cell>
          <cell r="L218">
            <v>0.3</v>
          </cell>
          <cell r="M218">
            <v>6.88</v>
          </cell>
          <cell r="N218">
            <v>0</v>
          </cell>
          <cell r="O218">
            <v>0</v>
          </cell>
          <cell r="P218">
            <v>0</v>
          </cell>
          <cell r="Q218">
            <v>211</v>
          </cell>
          <cell r="R218">
            <v>223</v>
          </cell>
          <cell r="S218" t="str">
            <v>EQUIPE MET</v>
          </cell>
          <cell r="T218">
            <v>38951</v>
          </cell>
        </row>
        <row r="219">
          <cell r="D219" t="str">
            <v>Projeto Detalhado</v>
          </cell>
          <cell r="E219" t="str">
            <v>44 dias</v>
          </cell>
          <cell r="F219">
            <v>38860.375</v>
          </cell>
          <cell r="G219">
            <v>38952.333333333336</v>
          </cell>
          <cell r="H219" t="str">
            <v>NA</v>
          </cell>
          <cell r="I219">
            <v>38897.729166666664</v>
          </cell>
          <cell r="J219">
            <v>39017.729166666664</v>
          </cell>
          <cell r="K219" t="str">
            <v>NA</v>
          </cell>
          <cell r="L219">
            <v>1.1100000000000001</v>
          </cell>
          <cell r="M219">
            <v>25.5</v>
          </cell>
          <cell r="N219">
            <v>0</v>
          </cell>
          <cell r="O219">
            <v>0</v>
          </cell>
          <cell r="P219">
            <v>0</v>
          </cell>
          <cell r="T219">
            <v>39017</v>
          </cell>
        </row>
        <row r="220">
          <cell r="D220" t="str">
            <v>Mecânica</v>
          </cell>
          <cell r="E220" t="str">
            <v>22 dias</v>
          </cell>
          <cell r="F220">
            <v>38860.333333333336</v>
          </cell>
          <cell r="G220">
            <v>38952.333333333336</v>
          </cell>
          <cell r="H220" t="str">
            <v>NA</v>
          </cell>
          <cell r="I220">
            <v>38888.729166666664</v>
          </cell>
          <cell r="J220">
            <v>38985.729166666664</v>
          </cell>
          <cell r="K220" t="str">
            <v>NA</v>
          </cell>
          <cell r="L220">
            <v>0.48</v>
          </cell>
          <cell r="M220">
            <v>11</v>
          </cell>
          <cell r="N220">
            <v>0</v>
          </cell>
          <cell r="O220">
            <v>0</v>
          </cell>
          <cell r="P220">
            <v>0</v>
          </cell>
          <cell r="T220">
            <v>38985</v>
          </cell>
        </row>
        <row r="221">
          <cell r="D221" t="str">
            <v>Desenho De Detalhamento</v>
          </cell>
          <cell r="E221" t="str">
            <v>22 dias</v>
          </cell>
          <cell r="F221">
            <v>38860.333333333336</v>
          </cell>
          <cell r="G221">
            <v>38952.333333333336</v>
          </cell>
          <cell r="H221" t="str">
            <v>NA</v>
          </cell>
          <cell r="I221">
            <v>38888.729166666664</v>
          </cell>
          <cell r="J221">
            <v>38985.729166666664</v>
          </cell>
          <cell r="K221" t="str">
            <v>NA</v>
          </cell>
          <cell r="L221">
            <v>0.48</v>
          </cell>
          <cell r="M221">
            <v>11</v>
          </cell>
          <cell r="N221">
            <v>0</v>
          </cell>
          <cell r="O221">
            <v>0</v>
          </cell>
          <cell r="P221">
            <v>0</v>
          </cell>
          <cell r="T221">
            <v>38985</v>
          </cell>
        </row>
        <row r="222">
          <cell r="B222" t="str">
            <v>DB.245.DD.01</v>
          </cell>
          <cell r="D222" t="str">
            <v>Caldeiraria</v>
          </cell>
          <cell r="E222" t="str">
            <v>10 dias</v>
          </cell>
          <cell r="F222">
            <v>38860.333333333336</v>
          </cell>
          <cell r="G222">
            <v>38952.333333333336</v>
          </cell>
          <cell r="H222" t="str">
            <v>NA</v>
          </cell>
          <cell r="I222">
            <v>38868.729166666664</v>
          </cell>
          <cell r="J222">
            <v>38965.729166666664</v>
          </cell>
          <cell r="K222" t="str">
            <v>NA</v>
          </cell>
          <cell r="L222">
            <v>0.13</v>
          </cell>
          <cell r="M222">
            <v>3</v>
          </cell>
          <cell r="N222">
            <v>0</v>
          </cell>
          <cell r="O222">
            <v>0</v>
          </cell>
          <cell r="P222">
            <v>0</v>
          </cell>
          <cell r="Q222" t="str">
            <v>30TI+10 dias;211;212</v>
          </cell>
          <cell r="R222">
            <v>221</v>
          </cell>
          <cell r="S222" t="str">
            <v>EQUIPE MEC[60%]</v>
          </cell>
          <cell r="T222">
            <v>38965</v>
          </cell>
        </row>
        <row r="223">
          <cell r="B223" t="str">
            <v>DB.245.DD.02</v>
          </cell>
          <cell r="D223" t="str">
            <v>Calhas</v>
          </cell>
          <cell r="E223" t="str">
            <v>12 dias</v>
          </cell>
          <cell r="F223">
            <v>38869.333333333336</v>
          </cell>
          <cell r="G223">
            <v>38966.333333333336</v>
          </cell>
          <cell r="H223" t="str">
            <v>NA</v>
          </cell>
          <cell r="I223">
            <v>38888.729166666664</v>
          </cell>
          <cell r="J223">
            <v>38985.729166666664</v>
          </cell>
          <cell r="K223" t="str">
            <v>NA</v>
          </cell>
          <cell r="L223">
            <v>0.35</v>
          </cell>
          <cell r="M223">
            <v>8</v>
          </cell>
          <cell r="N223">
            <v>0</v>
          </cell>
          <cell r="O223">
            <v>0</v>
          </cell>
          <cell r="P223">
            <v>0</v>
          </cell>
          <cell r="Q223">
            <v>220</v>
          </cell>
          <cell r="S223" t="str">
            <v>EQUIPE MEC</v>
          </cell>
          <cell r="T223">
            <v>38985</v>
          </cell>
        </row>
        <row r="224">
          <cell r="D224" t="str">
            <v>Civil</v>
          </cell>
          <cell r="E224" t="str">
            <v>11 dias</v>
          </cell>
          <cell r="F224">
            <v>38888.333333333336</v>
          </cell>
          <cell r="G224">
            <v>38952.333333333336</v>
          </cell>
          <cell r="H224" t="str">
            <v>NA</v>
          </cell>
          <cell r="I224">
            <v>38897.729166666664</v>
          </cell>
          <cell r="J224">
            <v>38966.729166666664</v>
          </cell>
          <cell r="K224" t="str">
            <v>NA</v>
          </cell>
          <cell r="L224">
            <v>0.17</v>
          </cell>
          <cell r="M224">
            <v>4</v>
          </cell>
          <cell r="N224">
            <v>0</v>
          </cell>
          <cell r="O224">
            <v>0</v>
          </cell>
          <cell r="P224">
            <v>0</v>
          </cell>
          <cell r="T224">
            <v>38966</v>
          </cell>
        </row>
        <row r="225">
          <cell r="B225" t="str">
            <v>DC.245.DD.01</v>
          </cell>
          <cell r="D225" t="str">
            <v>Desenho De Detalhamento - Fundação, Forma, Armação e Piso</v>
          </cell>
          <cell r="E225" t="str">
            <v>11 dias</v>
          </cell>
          <cell r="F225">
            <v>38888.333333333336</v>
          </cell>
          <cell r="G225">
            <v>38952.333333333336</v>
          </cell>
          <cell r="H225" t="str">
            <v>NA</v>
          </cell>
          <cell r="I225">
            <v>38897.729166666664</v>
          </cell>
          <cell r="J225">
            <v>38966.729166666664</v>
          </cell>
          <cell r="K225" t="str">
            <v>NA</v>
          </cell>
          <cell r="L225">
            <v>0.17</v>
          </cell>
          <cell r="M225">
            <v>4</v>
          </cell>
          <cell r="N225">
            <v>0</v>
          </cell>
          <cell r="O225">
            <v>0</v>
          </cell>
          <cell r="P225">
            <v>0</v>
          </cell>
          <cell r="Q225" t="str">
            <v>211;216</v>
          </cell>
          <cell r="R225">
            <v>226</v>
          </cell>
          <cell r="S225" t="str">
            <v>EQUIPE CIV</v>
          </cell>
          <cell r="T225">
            <v>38966</v>
          </cell>
        </row>
        <row r="226">
          <cell r="D226" t="str">
            <v>Elétrica</v>
          </cell>
          <cell r="E226" t="str">
            <v>22 dias</v>
          </cell>
          <cell r="F226">
            <v>38888.333333333336</v>
          </cell>
          <cell r="G226">
            <v>38971.333333333336</v>
          </cell>
          <cell r="H226" t="str">
            <v>NA</v>
          </cell>
          <cell r="I226">
            <v>38905.729166666664</v>
          </cell>
          <cell r="J226">
            <v>39000.729166666664</v>
          </cell>
          <cell r="K226" t="str">
            <v>NA</v>
          </cell>
          <cell r="L226">
            <v>0.42</v>
          </cell>
          <cell r="M226">
            <v>9.5</v>
          </cell>
          <cell r="N226">
            <v>0</v>
          </cell>
          <cell r="O226">
            <v>0</v>
          </cell>
          <cell r="P226">
            <v>0</v>
          </cell>
          <cell r="T226">
            <v>39000</v>
          </cell>
        </row>
        <row r="227">
          <cell r="D227" t="str">
            <v>Desenho De Detalhamento</v>
          </cell>
          <cell r="E227" t="str">
            <v>18 dias</v>
          </cell>
          <cell r="F227">
            <v>38888.333333333336</v>
          </cell>
          <cell r="G227">
            <v>38971.333333333336</v>
          </cell>
          <cell r="H227" t="str">
            <v>NA</v>
          </cell>
          <cell r="I227">
            <v>38905.729166666664</v>
          </cell>
          <cell r="J227">
            <v>38994.729166666664</v>
          </cell>
          <cell r="K227" t="str">
            <v>NA</v>
          </cell>
          <cell r="L227">
            <v>0.35</v>
          </cell>
          <cell r="M227">
            <v>8</v>
          </cell>
          <cell r="N227">
            <v>0</v>
          </cell>
          <cell r="O227">
            <v>0</v>
          </cell>
          <cell r="P227">
            <v>0</v>
          </cell>
          <cell r="R227">
            <v>228</v>
          </cell>
          <cell r="T227">
            <v>38994</v>
          </cell>
        </row>
        <row r="228">
          <cell r="B228" t="str">
            <v>DE.245.DD.01</v>
          </cell>
          <cell r="D228" t="str">
            <v>Disposição De Força, Controle e Aterramento</v>
          </cell>
          <cell r="E228" t="str">
            <v>9 dias</v>
          </cell>
          <cell r="F228">
            <v>38888.333333333336</v>
          </cell>
          <cell r="G228">
            <v>38971.333333333336</v>
          </cell>
          <cell r="H228" t="str">
            <v>NA</v>
          </cell>
          <cell r="I228">
            <v>38901.729166666664</v>
          </cell>
          <cell r="J228">
            <v>38981.729166666664</v>
          </cell>
          <cell r="K228" t="str">
            <v>NA</v>
          </cell>
          <cell r="L228">
            <v>0.17</v>
          </cell>
          <cell r="M228">
            <v>4</v>
          </cell>
          <cell r="N228">
            <v>0</v>
          </cell>
          <cell r="O228">
            <v>0</v>
          </cell>
          <cell r="P228">
            <v>0</v>
          </cell>
          <cell r="Q228">
            <v>223</v>
          </cell>
          <cell r="R228">
            <v>227</v>
          </cell>
          <cell r="S228" t="str">
            <v>EQUIPE ELE</v>
          </cell>
          <cell r="T228">
            <v>38981</v>
          </cell>
        </row>
        <row r="229">
          <cell r="B229" t="str">
            <v>DE.245.DD.02</v>
          </cell>
          <cell r="D229" t="str">
            <v>Iluminação</v>
          </cell>
          <cell r="E229" t="str">
            <v>9 dias</v>
          </cell>
          <cell r="F229">
            <v>38888.333333333336</v>
          </cell>
          <cell r="G229">
            <v>38982.333333333336</v>
          </cell>
          <cell r="H229" t="str">
            <v>NA</v>
          </cell>
          <cell r="I229">
            <v>38901.729166666664</v>
          </cell>
          <cell r="J229">
            <v>38994.729166666664</v>
          </cell>
          <cell r="K229" t="str">
            <v>NA</v>
          </cell>
          <cell r="L229">
            <v>0.17</v>
          </cell>
          <cell r="M229">
            <v>4</v>
          </cell>
          <cell r="N229">
            <v>0</v>
          </cell>
          <cell r="O229">
            <v>0</v>
          </cell>
          <cell r="P229">
            <v>0</v>
          </cell>
          <cell r="Q229">
            <v>226</v>
          </cell>
          <cell r="S229" t="str">
            <v>EQUIPE ELE</v>
          </cell>
          <cell r="T229">
            <v>38994</v>
          </cell>
        </row>
        <row r="230">
          <cell r="B230" t="str">
            <v>DE.245.LC.01</v>
          </cell>
          <cell r="D230" t="str">
            <v>Lista De Linhas/ Cabos</v>
          </cell>
          <cell r="E230" t="str">
            <v>4 dias</v>
          </cell>
          <cell r="F230">
            <v>38901.333333333336</v>
          </cell>
          <cell r="G230">
            <v>38995.333333333336</v>
          </cell>
          <cell r="H230" t="str">
            <v>NA</v>
          </cell>
          <cell r="I230">
            <v>38905.729166666664</v>
          </cell>
          <cell r="J230">
            <v>39000.729166666664</v>
          </cell>
          <cell r="K230" t="str">
            <v>NA</v>
          </cell>
          <cell r="L230">
            <v>7.0000000000000007E-2</v>
          </cell>
          <cell r="M230">
            <v>1.5</v>
          </cell>
          <cell r="N230">
            <v>0</v>
          </cell>
          <cell r="O230">
            <v>0</v>
          </cell>
          <cell r="P230">
            <v>0</v>
          </cell>
          <cell r="Q230">
            <v>225</v>
          </cell>
          <cell r="S230" t="str">
            <v>EQUIPE ELE</v>
          </cell>
          <cell r="T230">
            <v>39000</v>
          </cell>
        </row>
        <row r="231">
          <cell r="D231" t="str">
            <v>Instrumentação</v>
          </cell>
          <cell r="E231" t="str">
            <v>5 dias</v>
          </cell>
          <cell r="F231">
            <v>38888.333333333336</v>
          </cell>
          <cell r="G231">
            <v>39013.333333333336</v>
          </cell>
          <cell r="H231" t="str">
            <v>NA</v>
          </cell>
          <cell r="I231">
            <v>38895.729166666664</v>
          </cell>
          <cell r="J231">
            <v>39017.729166666664</v>
          </cell>
          <cell r="K231" t="str">
            <v>NA</v>
          </cell>
          <cell r="L231">
            <v>0.04</v>
          </cell>
          <cell r="M231">
            <v>1</v>
          </cell>
          <cell r="N231">
            <v>0</v>
          </cell>
          <cell r="O231">
            <v>0</v>
          </cell>
          <cell r="P231">
            <v>0</v>
          </cell>
          <cell r="T231">
            <v>39017</v>
          </cell>
        </row>
        <row r="232">
          <cell r="B232" t="str">
            <v>DT.245.AJ.01</v>
          </cell>
          <cell r="D232" t="str">
            <v>Arranjos/ Layout’s/ Plano Diretor - Locação De Instrumentos</v>
          </cell>
          <cell r="E232" t="str">
            <v>5 dias</v>
          </cell>
          <cell r="F232">
            <v>38888.333333333336</v>
          </cell>
          <cell r="G232">
            <v>39013.333333333336</v>
          </cell>
          <cell r="H232" t="str">
            <v>NA</v>
          </cell>
          <cell r="I232">
            <v>38895.729166666664</v>
          </cell>
          <cell r="J232">
            <v>39017.729166666664</v>
          </cell>
          <cell r="K232" t="str">
            <v>NA</v>
          </cell>
          <cell r="L232">
            <v>0.04</v>
          </cell>
          <cell r="M232">
            <v>1</v>
          </cell>
          <cell r="N232">
            <v>0</v>
          </cell>
          <cell r="O232">
            <v>0</v>
          </cell>
          <cell r="P232">
            <v>0</v>
          </cell>
          <cell r="Q232">
            <v>82</v>
          </cell>
          <cell r="S232" t="str">
            <v>EQUIPE TSA</v>
          </cell>
          <cell r="T232">
            <v>39017</v>
          </cell>
        </row>
        <row r="233">
          <cell r="B233" t="str">
            <v>1.1.8</v>
          </cell>
          <cell r="C233" t="str">
            <v>250A</v>
          </cell>
          <cell r="D233" t="str">
            <v>Moagem (2A)</v>
          </cell>
          <cell r="E233" t="str">
            <v>145 dias</v>
          </cell>
          <cell r="F233">
            <v>38805.333333333336</v>
          </cell>
          <cell r="G233">
            <v>38804.333333333336</v>
          </cell>
          <cell r="H233">
            <v>38804.333333333336</v>
          </cell>
          <cell r="I233">
            <v>38953.729166666664</v>
          </cell>
          <cell r="J233">
            <v>39022.729166666664</v>
          </cell>
          <cell r="K233" t="str">
            <v>NA</v>
          </cell>
          <cell r="L233">
            <v>8.31</v>
          </cell>
          <cell r="M233">
            <v>190.13</v>
          </cell>
          <cell r="N233">
            <v>14.68</v>
          </cell>
          <cell r="O233">
            <v>7.72</v>
          </cell>
          <cell r="P233">
            <v>7.72</v>
          </cell>
          <cell r="T233">
            <v>39022</v>
          </cell>
        </row>
        <row r="234">
          <cell r="D234" t="str">
            <v>Projeto Básico</v>
          </cell>
          <cell r="E234" t="str">
            <v>96 dias</v>
          </cell>
          <cell r="F234">
            <v>38805.333333333336</v>
          </cell>
          <cell r="G234">
            <v>38804.333333333336</v>
          </cell>
          <cell r="H234">
            <v>38804.333333333336</v>
          </cell>
          <cell r="I234">
            <v>38848.729166666664</v>
          </cell>
          <cell r="J234">
            <v>38947.729166666664</v>
          </cell>
          <cell r="K234" t="str">
            <v>NA</v>
          </cell>
          <cell r="L234">
            <v>1.29</v>
          </cell>
          <cell r="M234">
            <v>29.5</v>
          </cell>
          <cell r="N234">
            <v>14.68</v>
          </cell>
          <cell r="O234">
            <v>49.75</v>
          </cell>
          <cell r="P234">
            <v>49.75</v>
          </cell>
          <cell r="T234">
            <v>38947</v>
          </cell>
        </row>
        <row r="235">
          <cell r="D235" t="str">
            <v>Processo</v>
          </cell>
          <cell r="E235" t="str">
            <v>91 dias</v>
          </cell>
          <cell r="F235">
            <v>38805.333333333336</v>
          </cell>
          <cell r="G235">
            <v>38804.333333333336</v>
          </cell>
          <cell r="H235">
            <v>38804.333333333336</v>
          </cell>
          <cell r="I235">
            <v>38807.729166666664</v>
          </cell>
          <cell r="J235">
            <v>38938.729166666664</v>
          </cell>
          <cell r="K235" t="str">
            <v>NA</v>
          </cell>
          <cell r="L235">
            <v>0.62</v>
          </cell>
          <cell r="M235">
            <v>14.13</v>
          </cell>
          <cell r="N235">
            <v>12.4</v>
          </cell>
          <cell r="O235">
            <v>87.79</v>
          </cell>
          <cell r="P235">
            <v>87.79</v>
          </cell>
          <cell r="T235">
            <v>38938</v>
          </cell>
        </row>
        <row r="236">
          <cell r="D236" t="str">
            <v>Folha De Dados</v>
          </cell>
          <cell r="E236" t="str">
            <v>91 dias</v>
          </cell>
          <cell r="F236">
            <v>38805.333333333336</v>
          </cell>
          <cell r="G236">
            <v>38804.333333333336</v>
          </cell>
          <cell r="H236">
            <v>38804.333333333336</v>
          </cell>
          <cell r="I236">
            <v>38807.729166666664</v>
          </cell>
          <cell r="J236">
            <v>38938.729166666664</v>
          </cell>
          <cell r="K236" t="str">
            <v>NA</v>
          </cell>
          <cell r="L236">
            <v>0.37</v>
          </cell>
          <cell r="M236">
            <v>8.5</v>
          </cell>
          <cell r="N236">
            <v>7</v>
          </cell>
          <cell r="O236">
            <v>82.35</v>
          </cell>
          <cell r="P236">
            <v>82.35</v>
          </cell>
          <cell r="T236">
            <v>38938</v>
          </cell>
        </row>
        <row r="237">
          <cell r="B237" t="str">
            <v>BP.250.FD.01</v>
          </cell>
          <cell r="D237" t="str">
            <v>Moinho de Bolas</v>
          </cell>
          <cell r="E237" t="str">
            <v>4 dias</v>
          </cell>
          <cell r="F237">
            <v>38805.333333333336</v>
          </cell>
          <cell r="G237">
            <v>38804.333333333336</v>
          </cell>
          <cell r="H237">
            <v>38804.333333333336</v>
          </cell>
          <cell r="I237">
            <v>38807.729166666664</v>
          </cell>
          <cell r="J237">
            <v>38807.729166666664</v>
          </cell>
          <cell r="K237" t="str">
            <v>NA</v>
          </cell>
          <cell r="L237">
            <v>0.3</v>
          </cell>
          <cell r="M237">
            <v>6.88</v>
          </cell>
          <cell r="N237">
            <v>6.19</v>
          </cell>
          <cell r="O237">
            <v>90</v>
          </cell>
          <cell r="P237">
            <v>90</v>
          </cell>
          <cell r="Q237" t="str">
            <v>14II</v>
          </cell>
          <cell r="R237" t="str">
            <v>236;237</v>
          </cell>
          <cell r="S237" t="str">
            <v>EQUIPE PRO</v>
          </cell>
          <cell r="T237">
            <v>38807</v>
          </cell>
        </row>
        <row r="238">
          <cell r="B238" t="str">
            <v>BP.250.FD.02</v>
          </cell>
          <cell r="D238" t="str">
            <v>Hidrociclones de Classificação</v>
          </cell>
          <cell r="E238" t="str">
            <v>2 dias</v>
          </cell>
          <cell r="F238" t="str">
            <v>NA</v>
          </cell>
          <cell r="G238">
            <v>38937.333333333336</v>
          </cell>
          <cell r="H238">
            <v>38937.333333333336</v>
          </cell>
          <cell r="I238" t="str">
            <v>NA</v>
          </cell>
          <cell r="J238">
            <v>38938.729166666664</v>
          </cell>
          <cell r="K238" t="str">
            <v>NA</v>
          </cell>
          <cell r="L238">
            <v>7.0000000000000007E-2</v>
          </cell>
          <cell r="M238">
            <v>1.63</v>
          </cell>
          <cell r="N238">
            <v>0.81</v>
          </cell>
          <cell r="O238">
            <v>50</v>
          </cell>
          <cell r="P238">
            <v>50</v>
          </cell>
          <cell r="Q238">
            <v>235</v>
          </cell>
          <cell r="S238" t="str">
            <v>EQUIPE PRO</v>
          </cell>
          <cell r="T238">
            <v>38938</v>
          </cell>
        </row>
        <row r="239">
          <cell r="B239" t="str">
            <v>BP.250.MC.01</v>
          </cell>
          <cell r="D239" t="str">
            <v>Memória De Cálculo - Moinho de Bolas</v>
          </cell>
          <cell r="E239" t="str">
            <v>1 dia</v>
          </cell>
          <cell r="F239" t="str">
            <v>NA</v>
          </cell>
          <cell r="G239">
            <v>38856.333333333336</v>
          </cell>
          <cell r="H239">
            <v>38856.333333333336</v>
          </cell>
          <cell r="I239" t="str">
            <v>NA</v>
          </cell>
          <cell r="J239">
            <v>38856.729166666664</v>
          </cell>
          <cell r="K239" t="str">
            <v>NA</v>
          </cell>
          <cell r="L239">
            <v>0.04</v>
          </cell>
          <cell r="M239">
            <v>1</v>
          </cell>
          <cell r="N239">
            <v>0.9</v>
          </cell>
          <cell r="O239">
            <v>90</v>
          </cell>
          <cell r="P239">
            <v>90</v>
          </cell>
          <cell r="Q239">
            <v>235</v>
          </cell>
          <cell r="R239" t="str">
            <v>238II</v>
          </cell>
          <cell r="S239" t="str">
            <v>EQUIPE PRO</v>
          </cell>
          <cell r="T239">
            <v>38856</v>
          </cell>
        </row>
        <row r="240">
          <cell r="B240" t="str">
            <v>BP.250.RT.01</v>
          </cell>
          <cell r="D240" t="str">
            <v>Relatório Técnico - Moinho de Bolas</v>
          </cell>
          <cell r="E240" t="str">
            <v>5 dias</v>
          </cell>
          <cell r="F240" t="str">
            <v>NA</v>
          </cell>
          <cell r="G240">
            <v>38856.333333333336</v>
          </cell>
          <cell r="H240">
            <v>38856.333333333336</v>
          </cell>
          <cell r="I240" t="str">
            <v>NA</v>
          </cell>
          <cell r="J240">
            <v>38862.729166666664</v>
          </cell>
          <cell r="K240" t="str">
            <v>NA</v>
          </cell>
          <cell r="L240">
            <v>0.2</v>
          </cell>
          <cell r="M240">
            <v>4.63</v>
          </cell>
          <cell r="N240">
            <v>4.5</v>
          </cell>
          <cell r="O240">
            <v>97.3</v>
          </cell>
          <cell r="P240">
            <v>97.3</v>
          </cell>
          <cell r="Q240" t="str">
            <v>237II</v>
          </cell>
          <cell r="S240" t="str">
            <v>EQUIPE PRO[120%]</v>
          </cell>
          <cell r="T240">
            <v>38862</v>
          </cell>
        </row>
        <row r="241">
          <cell r="D241" t="str">
            <v>Mecânica</v>
          </cell>
          <cell r="E241" t="str">
            <v>13 dias</v>
          </cell>
          <cell r="F241">
            <v>38807.333333333336</v>
          </cell>
          <cell r="G241">
            <v>38926.333333333336</v>
          </cell>
          <cell r="H241">
            <v>38926.333333333336</v>
          </cell>
          <cell r="I241">
            <v>38827.729166666664</v>
          </cell>
          <cell r="J241">
            <v>38946.729166666664</v>
          </cell>
          <cell r="K241" t="str">
            <v>NA</v>
          </cell>
          <cell r="L241">
            <v>0.16</v>
          </cell>
          <cell r="M241">
            <v>3.75</v>
          </cell>
          <cell r="N241">
            <v>0.7</v>
          </cell>
          <cell r="O241">
            <v>18.670000000000002</v>
          </cell>
          <cell r="P241">
            <v>18.670000000000002</v>
          </cell>
          <cell r="T241">
            <v>38946</v>
          </cell>
        </row>
        <row r="242">
          <cell r="B242" t="str">
            <v>BB.250.DB.01</v>
          </cell>
          <cell r="D242" t="str">
            <v>Desenho Básico - Arranjo 2 Moinho + 1 Futuro</v>
          </cell>
          <cell r="E242" t="str">
            <v>6 dias</v>
          </cell>
          <cell r="F242">
            <v>38807.333333333336</v>
          </cell>
          <cell r="G242">
            <v>38926.333333333336</v>
          </cell>
          <cell r="H242">
            <v>38926.333333333336</v>
          </cell>
          <cell r="I242">
            <v>38817.729166666664</v>
          </cell>
          <cell r="J242">
            <v>38933.729166666664</v>
          </cell>
          <cell r="K242" t="str">
            <v>NA</v>
          </cell>
          <cell r="L242">
            <v>0.04</v>
          </cell>
          <cell r="M242">
            <v>1</v>
          </cell>
          <cell r="N242">
            <v>0.7</v>
          </cell>
          <cell r="O242">
            <v>70</v>
          </cell>
          <cell r="P242">
            <v>70</v>
          </cell>
          <cell r="Q242" t="str">
            <v>14II</v>
          </cell>
          <cell r="R242" t="str">
            <v>241;247;244;250;257;338</v>
          </cell>
          <cell r="S242" t="str">
            <v>EQUIPE MEC</v>
          </cell>
          <cell r="T242">
            <v>38933</v>
          </cell>
        </row>
        <row r="243">
          <cell r="B243" t="str">
            <v>BB.250.DB.02</v>
          </cell>
          <cell r="D243" t="str">
            <v>Desenho Básico - Transportador/ Caixa Polpa</v>
          </cell>
          <cell r="E243" t="str">
            <v>6 dias</v>
          </cell>
          <cell r="F243">
            <v>38817.333333333336</v>
          </cell>
          <cell r="G243">
            <v>38936.333333333336</v>
          </cell>
          <cell r="H243" t="str">
            <v>NA</v>
          </cell>
          <cell r="I243">
            <v>38826.729166666664</v>
          </cell>
          <cell r="J243">
            <v>38945.729166666664</v>
          </cell>
          <cell r="K243" t="str">
            <v>NA</v>
          </cell>
          <cell r="L243">
            <v>7.0000000000000007E-2</v>
          </cell>
          <cell r="M243">
            <v>1.5</v>
          </cell>
          <cell r="N243">
            <v>0</v>
          </cell>
          <cell r="O243">
            <v>0</v>
          </cell>
          <cell r="P243">
            <v>0</v>
          </cell>
          <cell r="Q243">
            <v>240</v>
          </cell>
          <cell r="R243" t="str">
            <v>242;250</v>
          </cell>
          <cell r="S243" t="str">
            <v>EQUIPE MEC</v>
          </cell>
          <cell r="T243">
            <v>38945</v>
          </cell>
        </row>
        <row r="244">
          <cell r="B244" t="str">
            <v>BB.250.FD.01</v>
          </cell>
          <cell r="D244" t="str">
            <v>Folha De Dados - Transportador</v>
          </cell>
          <cell r="E244" t="str">
            <v>1 dia</v>
          </cell>
          <cell r="F244">
            <v>38827.333333333336</v>
          </cell>
          <cell r="G244">
            <v>38946.333333333336</v>
          </cell>
          <cell r="H244" t="str">
            <v>NA</v>
          </cell>
          <cell r="I244">
            <v>38827.729166666664</v>
          </cell>
          <cell r="J244">
            <v>38946.729166666664</v>
          </cell>
          <cell r="K244" t="str">
            <v>NA</v>
          </cell>
          <cell r="L244">
            <v>0.05</v>
          </cell>
          <cell r="M244">
            <v>1.25</v>
          </cell>
          <cell r="N244">
            <v>0</v>
          </cell>
          <cell r="O244">
            <v>0</v>
          </cell>
          <cell r="P244">
            <v>0</v>
          </cell>
          <cell r="Q244">
            <v>241</v>
          </cell>
          <cell r="S244" t="str">
            <v>EQUIPE MEC</v>
          </cell>
          <cell r="T244">
            <v>38946</v>
          </cell>
        </row>
        <row r="245">
          <cell r="D245" t="str">
            <v>Tubulação</v>
          </cell>
          <cell r="E245" t="str">
            <v>38 dias</v>
          </cell>
          <cell r="F245">
            <v>38817.333333333336</v>
          </cell>
          <cell r="G245">
            <v>38894.333333333336</v>
          </cell>
          <cell r="H245">
            <v>38894.333333333336</v>
          </cell>
          <cell r="I245">
            <v>38848.729166666664</v>
          </cell>
          <cell r="J245">
            <v>38947.729166666664</v>
          </cell>
          <cell r="K245" t="str">
            <v>NA</v>
          </cell>
          <cell r="L245">
            <v>0.21</v>
          </cell>
          <cell r="M245">
            <v>4.75</v>
          </cell>
          <cell r="N245">
            <v>1.58</v>
          </cell>
          <cell r="O245">
            <v>33.159999999999997</v>
          </cell>
          <cell r="P245">
            <v>33.159999999999997</v>
          </cell>
          <cell r="T245">
            <v>38947</v>
          </cell>
        </row>
        <row r="246">
          <cell r="B246" t="str">
            <v>BH.250.DB.01</v>
          </cell>
          <cell r="D246" t="str">
            <v>Desenho Básico - Planta/ Cortes</v>
          </cell>
          <cell r="E246" t="str">
            <v>8 dias</v>
          </cell>
          <cell r="F246">
            <v>38817.333333333336</v>
          </cell>
          <cell r="G246">
            <v>38936.333333333336</v>
          </cell>
          <cell r="H246" t="str">
            <v>NA</v>
          </cell>
          <cell r="I246">
            <v>38841.729166666664</v>
          </cell>
          <cell r="J246">
            <v>38947.729166666664</v>
          </cell>
          <cell r="K246" t="str">
            <v>NA</v>
          </cell>
          <cell r="L246">
            <v>0.13</v>
          </cell>
          <cell r="M246">
            <v>3</v>
          </cell>
          <cell r="N246">
            <v>0</v>
          </cell>
          <cell r="O246">
            <v>0</v>
          </cell>
          <cell r="P246">
            <v>0</v>
          </cell>
          <cell r="Q246" t="str">
            <v>39II;240</v>
          </cell>
          <cell r="R246" t="str">
            <v>311II;252</v>
          </cell>
          <cell r="S246" t="str">
            <v>EQUIPE TUB</v>
          </cell>
          <cell r="T246">
            <v>38947</v>
          </cell>
        </row>
        <row r="247">
          <cell r="B247" t="str">
            <v>BH.250.MC.01</v>
          </cell>
          <cell r="D247" t="str">
            <v>Memória De Cálculo - Bombas</v>
          </cell>
          <cell r="E247" t="str">
            <v>3 dias</v>
          </cell>
          <cell r="F247">
            <v>38841.333333333336</v>
          </cell>
          <cell r="G247">
            <v>38894.333333333336</v>
          </cell>
          <cell r="H247">
            <v>38894.333333333336</v>
          </cell>
          <cell r="I247">
            <v>38848.729166666664</v>
          </cell>
          <cell r="J247">
            <v>38896.729166666664</v>
          </cell>
          <cell r="K247" t="str">
            <v>NA</v>
          </cell>
          <cell r="L247">
            <v>0.08</v>
          </cell>
          <cell r="M247">
            <v>1.75</v>
          </cell>
          <cell r="N247">
            <v>1.58</v>
          </cell>
          <cell r="O247">
            <v>90</v>
          </cell>
          <cell r="P247">
            <v>90</v>
          </cell>
          <cell r="Q247" t="str">
            <v>39II</v>
          </cell>
          <cell r="S247" t="str">
            <v>EQUIPE TUB</v>
          </cell>
          <cell r="T247">
            <v>38896</v>
          </cell>
        </row>
        <row r="248">
          <cell r="D248" t="str">
            <v>Estrutura Metálica</v>
          </cell>
          <cell r="E248" t="str">
            <v>6 dias</v>
          </cell>
          <cell r="F248">
            <v>38817.333333333336</v>
          </cell>
          <cell r="G248">
            <v>38936.333333333336</v>
          </cell>
          <cell r="H248" t="str">
            <v>NA</v>
          </cell>
          <cell r="I248">
            <v>38834.729166666664</v>
          </cell>
          <cell r="J248">
            <v>38945.729166666664</v>
          </cell>
          <cell r="K248" t="str">
            <v>NA</v>
          </cell>
          <cell r="L248">
            <v>0.3</v>
          </cell>
          <cell r="M248">
            <v>6.88</v>
          </cell>
          <cell r="N248">
            <v>0</v>
          </cell>
          <cell r="O248">
            <v>0</v>
          </cell>
          <cell r="P248">
            <v>0</v>
          </cell>
          <cell r="T248">
            <v>38945</v>
          </cell>
        </row>
        <row r="249">
          <cell r="B249" t="str">
            <v>BD.250.MC.01</v>
          </cell>
          <cell r="D249" t="str">
            <v>Memória De Cálculo</v>
          </cell>
          <cell r="E249" t="str">
            <v>6 dias</v>
          </cell>
          <cell r="F249">
            <v>38817.333333333336</v>
          </cell>
          <cell r="G249">
            <v>38936.333333333336</v>
          </cell>
          <cell r="H249" t="str">
            <v>NA</v>
          </cell>
          <cell r="I249">
            <v>38834.729166666664</v>
          </cell>
          <cell r="J249">
            <v>38945.729166666664</v>
          </cell>
          <cell r="K249" t="str">
            <v>NA</v>
          </cell>
          <cell r="L249">
            <v>0.3</v>
          </cell>
          <cell r="M249">
            <v>6.88</v>
          </cell>
          <cell r="N249">
            <v>0</v>
          </cell>
          <cell r="O249">
            <v>0</v>
          </cell>
          <cell r="P249">
            <v>0</v>
          </cell>
          <cell r="Q249">
            <v>240</v>
          </cell>
          <cell r="R249" t="str">
            <v>257II</v>
          </cell>
          <cell r="S249" t="str">
            <v>EQUIPE MET</v>
          </cell>
          <cell r="T249">
            <v>38945</v>
          </cell>
        </row>
        <row r="250">
          <cell r="D250" t="str">
            <v>Projeto Detalhado</v>
          </cell>
          <cell r="E250" t="str">
            <v>57 dias</v>
          </cell>
          <cell r="F250">
            <v>38860.333333333336</v>
          </cell>
          <cell r="G250">
            <v>38936.333333333336</v>
          </cell>
          <cell r="H250" t="str">
            <v>NA</v>
          </cell>
          <cell r="I250">
            <v>38953.729166666664</v>
          </cell>
          <cell r="J250">
            <v>39022.729166666664</v>
          </cell>
          <cell r="K250" t="str">
            <v>NA</v>
          </cell>
          <cell r="L250">
            <v>7.02</v>
          </cell>
          <cell r="M250">
            <v>160.63</v>
          </cell>
          <cell r="N250">
            <v>0</v>
          </cell>
          <cell r="O250">
            <v>0</v>
          </cell>
          <cell r="P250">
            <v>0</v>
          </cell>
          <cell r="T250">
            <v>39022</v>
          </cell>
        </row>
        <row r="251">
          <cell r="D251" t="str">
            <v>Mecânica</v>
          </cell>
          <cell r="E251" t="str">
            <v>10 dias</v>
          </cell>
          <cell r="F251">
            <v>38860.333333333336</v>
          </cell>
          <cell r="G251">
            <v>38952.333333333336</v>
          </cell>
          <cell r="H251" t="str">
            <v>NA</v>
          </cell>
          <cell r="I251">
            <v>38869.729166666664</v>
          </cell>
          <cell r="J251">
            <v>38965.729166666664</v>
          </cell>
          <cell r="K251" t="str">
            <v>NA</v>
          </cell>
          <cell r="L251">
            <v>0.17</v>
          </cell>
          <cell r="M251">
            <v>4</v>
          </cell>
          <cell r="N251">
            <v>0</v>
          </cell>
          <cell r="O251">
            <v>0</v>
          </cell>
          <cell r="P251">
            <v>0</v>
          </cell>
          <cell r="T251">
            <v>38965</v>
          </cell>
        </row>
        <row r="252">
          <cell r="B252" t="str">
            <v>DB.250.DD.01</v>
          </cell>
          <cell r="D252" t="str">
            <v>Desenho De Detalhamento - Distribuidor e Calha</v>
          </cell>
          <cell r="E252" t="str">
            <v>10 dias</v>
          </cell>
          <cell r="F252">
            <v>38860.333333333336</v>
          </cell>
          <cell r="G252">
            <v>38952.333333333336</v>
          </cell>
          <cell r="H252" t="str">
            <v>NA</v>
          </cell>
          <cell r="I252">
            <v>38869.729166666664</v>
          </cell>
          <cell r="J252">
            <v>38965.729166666664</v>
          </cell>
          <cell r="K252" t="str">
            <v>NA</v>
          </cell>
          <cell r="L252">
            <v>0.17</v>
          </cell>
          <cell r="M252">
            <v>4</v>
          </cell>
          <cell r="N252">
            <v>0</v>
          </cell>
          <cell r="O252">
            <v>0</v>
          </cell>
          <cell r="P252">
            <v>0</v>
          </cell>
          <cell r="Q252" t="str">
            <v>30TI+10 dias;240;241</v>
          </cell>
          <cell r="S252" t="str">
            <v>EQUIPE MEC[70%]</v>
          </cell>
          <cell r="T252">
            <v>38965</v>
          </cell>
        </row>
        <row r="253">
          <cell r="D253" t="str">
            <v>Tubulação</v>
          </cell>
          <cell r="E253" t="str">
            <v>48 dias</v>
          </cell>
          <cell r="F253">
            <v>38869.333333333336</v>
          </cell>
          <cell r="G253">
            <v>38950.333333333336</v>
          </cell>
          <cell r="H253" t="str">
            <v>NA</v>
          </cell>
          <cell r="I253">
            <v>38953.729166666664</v>
          </cell>
          <cell r="J253">
            <v>39021.729166666664</v>
          </cell>
          <cell r="K253" t="str">
            <v>NA</v>
          </cell>
          <cell r="L253">
            <v>3.06</v>
          </cell>
          <cell r="M253">
            <v>70</v>
          </cell>
          <cell r="N253">
            <v>0</v>
          </cell>
          <cell r="O253">
            <v>0</v>
          </cell>
          <cell r="P253">
            <v>0</v>
          </cell>
          <cell r="T253">
            <v>39021</v>
          </cell>
        </row>
        <row r="254">
          <cell r="B254" t="str">
            <v>DH.250.DD.01</v>
          </cell>
          <cell r="D254" t="str">
            <v>Desenho De Detalhamento - Planta de Tubulação</v>
          </cell>
          <cell r="E254" t="str">
            <v>20 dias</v>
          </cell>
          <cell r="F254">
            <v>38869.333333333336</v>
          </cell>
          <cell r="G254">
            <v>38950.333333333336</v>
          </cell>
          <cell r="H254" t="str">
            <v>NA</v>
          </cell>
          <cell r="I254">
            <v>38904.729166666664</v>
          </cell>
          <cell r="J254">
            <v>38979.729166666664</v>
          </cell>
          <cell r="K254" t="str">
            <v>NA</v>
          </cell>
          <cell r="L254">
            <v>1.84</v>
          </cell>
          <cell r="M254">
            <v>42</v>
          </cell>
          <cell r="N254">
            <v>0</v>
          </cell>
          <cell r="O254">
            <v>0</v>
          </cell>
          <cell r="P254">
            <v>0</v>
          </cell>
          <cell r="Q254" t="str">
            <v>39II;244</v>
          </cell>
          <cell r="R254" t="str">
            <v>253;259</v>
          </cell>
          <cell r="S254" t="str">
            <v>EQUIPE TUB</v>
          </cell>
          <cell r="T254">
            <v>38979</v>
          </cell>
        </row>
        <row r="255">
          <cell r="B255" t="str">
            <v>DH.250.DE.01</v>
          </cell>
          <cell r="D255" t="str">
            <v>Detalhes Típicos - Suporte</v>
          </cell>
          <cell r="E255" t="str">
            <v>6 dias</v>
          </cell>
          <cell r="F255">
            <v>38905.333333333336</v>
          </cell>
          <cell r="G255">
            <v>38980.333333333336</v>
          </cell>
          <cell r="H255" t="str">
            <v>NA</v>
          </cell>
          <cell r="I255">
            <v>38914.729166666664</v>
          </cell>
          <cell r="J255">
            <v>38987.729166666664</v>
          </cell>
          <cell r="K255" t="str">
            <v>NA</v>
          </cell>
          <cell r="L255">
            <v>0.17</v>
          </cell>
          <cell r="M255">
            <v>4</v>
          </cell>
          <cell r="N255">
            <v>0</v>
          </cell>
          <cell r="O255">
            <v>0</v>
          </cell>
          <cell r="P255">
            <v>0</v>
          </cell>
          <cell r="Q255">
            <v>252</v>
          </cell>
          <cell r="R255">
            <v>254</v>
          </cell>
          <cell r="S255" t="str">
            <v>EQUIPE TUB</v>
          </cell>
          <cell r="T255">
            <v>38987</v>
          </cell>
        </row>
        <row r="256">
          <cell r="B256" t="str">
            <v>DH.250.IS.01</v>
          </cell>
          <cell r="D256" t="str">
            <v>Isométrico</v>
          </cell>
          <cell r="E256" t="str">
            <v>20 dias</v>
          </cell>
          <cell r="F256">
            <v>38915.333333333336</v>
          </cell>
          <cell r="G256">
            <v>38988.333333333336</v>
          </cell>
          <cell r="H256" t="str">
            <v>NA</v>
          </cell>
          <cell r="I256">
            <v>38919.729166666664</v>
          </cell>
          <cell r="J256">
            <v>39017.729166666664</v>
          </cell>
          <cell r="K256" t="str">
            <v>NA</v>
          </cell>
          <cell r="L256">
            <v>0.87</v>
          </cell>
          <cell r="M256">
            <v>20</v>
          </cell>
          <cell r="N256">
            <v>0</v>
          </cell>
          <cell r="O256">
            <v>0</v>
          </cell>
          <cell r="P256">
            <v>0</v>
          </cell>
          <cell r="Q256">
            <v>253</v>
          </cell>
          <cell r="R256">
            <v>255</v>
          </cell>
          <cell r="S256" t="str">
            <v>EQUIPE TUB</v>
          </cell>
          <cell r="T256">
            <v>39017</v>
          </cell>
        </row>
        <row r="257">
          <cell r="B257" t="str">
            <v>DH.250.LM.01</v>
          </cell>
          <cell r="D257" t="str">
            <v>Lista De Materiais</v>
          </cell>
          <cell r="E257" t="str">
            <v>2 dias</v>
          </cell>
          <cell r="F257">
            <v>38951.333333333336</v>
          </cell>
          <cell r="G257">
            <v>39020.333333333336</v>
          </cell>
          <cell r="H257" t="str">
            <v>NA</v>
          </cell>
          <cell r="I257">
            <v>38953.729166666664</v>
          </cell>
          <cell r="J257">
            <v>39021.729166666664</v>
          </cell>
          <cell r="K257" t="str">
            <v>NA</v>
          </cell>
          <cell r="L257">
            <v>0.17</v>
          </cell>
          <cell r="M257">
            <v>4</v>
          </cell>
          <cell r="N257">
            <v>0</v>
          </cell>
          <cell r="O257">
            <v>0</v>
          </cell>
          <cell r="P257">
            <v>0</v>
          </cell>
          <cell r="Q257">
            <v>254</v>
          </cell>
          <cell r="S257" t="str">
            <v>EQUIPE TUB</v>
          </cell>
          <cell r="T257">
            <v>39021</v>
          </cell>
        </row>
        <row r="258">
          <cell r="D258" t="str">
            <v>Civil</v>
          </cell>
          <cell r="E258" t="str">
            <v>18 dias</v>
          </cell>
          <cell r="F258">
            <v>38869.333333333336</v>
          </cell>
          <cell r="G258">
            <v>38936.333333333336</v>
          </cell>
          <cell r="H258" t="str">
            <v>NA</v>
          </cell>
          <cell r="I258">
            <v>38888.729166666664</v>
          </cell>
          <cell r="J258">
            <v>38961.729166666664</v>
          </cell>
          <cell r="K258" t="str">
            <v>NA</v>
          </cell>
          <cell r="L258">
            <v>0.56999999999999995</v>
          </cell>
          <cell r="M258">
            <v>13</v>
          </cell>
          <cell r="N258">
            <v>0</v>
          </cell>
          <cell r="O258">
            <v>0</v>
          </cell>
          <cell r="P258">
            <v>0</v>
          </cell>
          <cell r="T258">
            <v>38961</v>
          </cell>
        </row>
        <row r="259">
          <cell r="B259" t="str">
            <v>DC.250.DD.01</v>
          </cell>
          <cell r="D259" t="str">
            <v>Desenho De Detalhamento - Fundação, Forma, Armação, Bases e Piso</v>
          </cell>
          <cell r="E259" t="str">
            <v>18 dias</v>
          </cell>
          <cell r="F259">
            <v>38869.333333333336</v>
          </cell>
          <cell r="G259">
            <v>38936.333333333336</v>
          </cell>
          <cell r="H259" t="str">
            <v>NA</v>
          </cell>
          <cell r="I259">
            <v>38888.729166666664</v>
          </cell>
          <cell r="J259">
            <v>38961.729166666664</v>
          </cell>
          <cell r="K259" t="str">
            <v>NA</v>
          </cell>
          <cell r="L259">
            <v>0.56999999999999995</v>
          </cell>
          <cell r="M259">
            <v>13</v>
          </cell>
          <cell r="N259">
            <v>0</v>
          </cell>
          <cell r="O259">
            <v>0</v>
          </cell>
          <cell r="P259">
            <v>0</v>
          </cell>
          <cell r="Q259" t="str">
            <v>240;247II</v>
          </cell>
          <cell r="R259">
            <v>264</v>
          </cell>
          <cell r="S259" t="str">
            <v>EQUIPE CIV</v>
          </cell>
          <cell r="T259">
            <v>38961</v>
          </cell>
        </row>
        <row r="260">
          <cell r="D260" t="str">
            <v>Estrutura Metálica</v>
          </cell>
          <cell r="E260" t="str">
            <v>25 dias</v>
          </cell>
          <cell r="F260">
            <v>38905.333333333336</v>
          </cell>
          <cell r="G260">
            <v>38980.333333333336</v>
          </cell>
          <cell r="H260" t="str">
            <v>NA</v>
          </cell>
          <cell r="I260">
            <v>38931.729166666664</v>
          </cell>
          <cell r="J260">
            <v>39016.729166666664</v>
          </cell>
          <cell r="K260" t="str">
            <v>NA</v>
          </cell>
          <cell r="L260">
            <v>2.41</v>
          </cell>
          <cell r="M260">
            <v>55.25</v>
          </cell>
          <cell r="N260">
            <v>0</v>
          </cell>
          <cell r="O260">
            <v>0</v>
          </cell>
          <cell r="P260">
            <v>0</v>
          </cell>
          <cell r="T260">
            <v>39016</v>
          </cell>
        </row>
        <row r="261">
          <cell r="B261" t="str">
            <v>DD.250.DP.01</v>
          </cell>
          <cell r="D261" t="str">
            <v>Desenho De Projeto</v>
          </cell>
          <cell r="E261" t="str">
            <v>22 dias</v>
          </cell>
          <cell r="F261">
            <v>38905.333333333336</v>
          </cell>
          <cell r="G261">
            <v>38980.333333333336</v>
          </cell>
          <cell r="H261" t="str">
            <v>NA</v>
          </cell>
          <cell r="I261">
            <v>38930.729166666664</v>
          </cell>
          <cell r="J261">
            <v>39013.729166666664</v>
          </cell>
          <cell r="K261" t="str">
            <v>NA</v>
          </cell>
          <cell r="L261">
            <v>0.87</v>
          </cell>
          <cell r="M261">
            <v>20</v>
          </cell>
          <cell r="N261">
            <v>0</v>
          </cell>
          <cell r="O261">
            <v>0</v>
          </cell>
          <cell r="P261">
            <v>0</v>
          </cell>
          <cell r="Q261">
            <v>252</v>
          </cell>
          <cell r="R261" t="str">
            <v>260;261II</v>
          </cell>
          <cell r="S261" t="str">
            <v>EQUIPE MET</v>
          </cell>
          <cell r="T261">
            <v>39013</v>
          </cell>
        </row>
        <row r="262">
          <cell r="B262" t="str">
            <v>DD.250.LM.01</v>
          </cell>
          <cell r="D262" t="str">
            <v>Lista De Materiais</v>
          </cell>
          <cell r="E262" t="str">
            <v>1 dia</v>
          </cell>
          <cell r="F262">
            <v>38931.333333333336</v>
          </cell>
          <cell r="G262">
            <v>39014.333333333336</v>
          </cell>
          <cell r="H262" t="str">
            <v>NA</v>
          </cell>
          <cell r="I262">
            <v>38931.729166666664</v>
          </cell>
          <cell r="J262">
            <v>39014.729166666664</v>
          </cell>
          <cell r="K262" t="str">
            <v>NA</v>
          </cell>
          <cell r="L262">
            <v>0.02</v>
          </cell>
          <cell r="M262">
            <v>0.5</v>
          </cell>
          <cell r="N262">
            <v>0</v>
          </cell>
          <cell r="O262">
            <v>0</v>
          </cell>
          <cell r="P262">
            <v>0</v>
          </cell>
          <cell r="Q262">
            <v>259</v>
          </cell>
          <cell r="S262" t="str">
            <v>EQUIPE MET</v>
          </cell>
          <cell r="T262">
            <v>39014</v>
          </cell>
        </row>
        <row r="263">
          <cell r="B263" t="str">
            <v>DD.250.MC.01</v>
          </cell>
          <cell r="D263" t="str">
            <v>Memória De Cálculo</v>
          </cell>
          <cell r="E263" t="str">
            <v>25 dias</v>
          </cell>
          <cell r="F263">
            <v>38905.333333333336</v>
          </cell>
          <cell r="G263">
            <v>38980.333333333336</v>
          </cell>
          <cell r="H263" t="str">
            <v>NA</v>
          </cell>
          <cell r="I263">
            <v>38931.729166666664</v>
          </cell>
          <cell r="J263">
            <v>39016.729166666664</v>
          </cell>
          <cell r="K263" t="str">
            <v>NA</v>
          </cell>
          <cell r="L263">
            <v>1.52</v>
          </cell>
          <cell r="M263">
            <v>34.75</v>
          </cell>
          <cell r="N263">
            <v>0</v>
          </cell>
          <cell r="O263">
            <v>0</v>
          </cell>
          <cell r="P263">
            <v>0</v>
          </cell>
          <cell r="Q263" t="str">
            <v>259II</v>
          </cell>
          <cell r="S263" t="str">
            <v>EQUIPE MET</v>
          </cell>
          <cell r="T263">
            <v>39016</v>
          </cell>
        </row>
        <row r="264">
          <cell r="D264" t="str">
            <v>Elétrica</v>
          </cell>
          <cell r="E264" t="str">
            <v>32 dias</v>
          </cell>
          <cell r="F264">
            <v>38887.333333333336</v>
          </cell>
          <cell r="G264">
            <v>38964.333333333336</v>
          </cell>
          <cell r="H264" t="str">
            <v>NA</v>
          </cell>
          <cell r="I264">
            <v>38917.729166666664</v>
          </cell>
          <cell r="J264">
            <v>39013.729166666664</v>
          </cell>
          <cell r="K264" t="str">
            <v>NA</v>
          </cell>
          <cell r="L264">
            <v>0.72</v>
          </cell>
          <cell r="M264">
            <v>16.38</v>
          </cell>
          <cell r="N264">
            <v>0</v>
          </cell>
          <cell r="O264">
            <v>0</v>
          </cell>
          <cell r="P264">
            <v>0</v>
          </cell>
          <cell r="T264">
            <v>39013</v>
          </cell>
        </row>
        <row r="265">
          <cell r="D265" t="str">
            <v>Desenho De Detalhamento</v>
          </cell>
          <cell r="E265" t="str">
            <v>24 dias</v>
          </cell>
          <cell r="F265">
            <v>38887.333333333336</v>
          </cell>
          <cell r="G265">
            <v>38964.333333333336</v>
          </cell>
          <cell r="H265" t="str">
            <v>NA</v>
          </cell>
          <cell r="I265">
            <v>38910.729166666664</v>
          </cell>
          <cell r="J265">
            <v>38999.729166666664</v>
          </cell>
          <cell r="K265" t="str">
            <v>NA</v>
          </cell>
          <cell r="L265">
            <v>0.56999999999999995</v>
          </cell>
          <cell r="M265">
            <v>13</v>
          </cell>
          <cell r="N265">
            <v>0</v>
          </cell>
          <cell r="O265">
            <v>0</v>
          </cell>
          <cell r="P265">
            <v>0</v>
          </cell>
          <cell r="R265">
            <v>266</v>
          </cell>
          <cell r="T265">
            <v>38999</v>
          </cell>
        </row>
        <row r="266">
          <cell r="B266" t="str">
            <v>DE.250.DD.01</v>
          </cell>
          <cell r="D266" t="str">
            <v>Disposição De Força, Controle e Aterramento</v>
          </cell>
          <cell r="E266" t="str">
            <v>9 dias</v>
          </cell>
          <cell r="F266">
            <v>38887.333333333336</v>
          </cell>
          <cell r="G266">
            <v>38964.333333333336</v>
          </cell>
          <cell r="H266" t="str">
            <v>NA</v>
          </cell>
          <cell r="I266">
            <v>38897.729166666664</v>
          </cell>
          <cell r="J266">
            <v>38978.729166666664</v>
          </cell>
          <cell r="K266" t="str">
            <v>NA</v>
          </cell>
          <cell r="L266">
            <v>0.17</v>
          </cell>
          <cell r="M266">
            <v>4</v>
          </cell>
          <cell r="N266">
            <v>0</v>
          </cell>
          <cell r="O266">
            <v>0</v>
          </cell>
          <cell r="P266">
            <v>0</v>
          </cell>
          <cell r="Q266">
            <v>257</v>
          </cell>
          <cell r="R266">
            <v>265</v>
          </cell>
          <cell r="S266" t="str">
            <v>EQUIPE ELE</v>
          </cell>
          <cell r="T266">
            <v>38978</v>
          </cell>
        </row>
        <row r="267">
          <cell r="B267" t="str">
            <v>DE.250.DD.02</v>
          </cell>
          <cell r="D267" t="str">
            <v>Iluminação</v>
          </cell>
          <cell r="E267" t="str">
            <v>15 dias</v>
          </cell>
          <cell r="F267">
            <v>38898.333333333336</v>
          </cell>
          <cell r="G267">
            <v>38979.333333333336</v>
          </cell>
          <cell r="H267" t="str">
            <v>NA</v>
          </cell>
          <cell r="I267">
            <v>38910.729166666664</v>
          </cell>
          <cell r="J267">
            <v>38999.729166666664</v>
          </cell>
          <cell r="K267" t="str">
            <v>NA</v>
          </cell>
          <cell r="L267">
            <v>0.39</v>
          </cell>
          <cell r="M267">
            <v>9</v>
          </cell>
          <cell r="N267">
            <v>0</v>
          </cell>
          <cell r="O267">
            <v>0</v>
          </cell>
          <cell r="P267">
            <v>0</v>
          </cell>
          <cell r="Q267">
            <v>264</v>
          </cell>
          <cell r="S267" t="str">
            <v>EQUIPE ELE</v>
          </cell>
          <cell r="T267">
            <v>38999</v>
          </cell>
        </row>
        <row r="268">
          <cell r="B268" t="str">
            <v>DE.250.ET.01</v>
          </cell>
          <cell r="D268" t="str">
            <v>Especificação Técnica - Força Aterramento/ Iluminação</v>
          </cell>
          <cell r="E268" t="str">
            <v>4 dias</v>
          </cell>
          <cell r="F268">
            <v>38909.333333333336</v>
          </cell>
          <cell r="G268">
            <v>39000.333333333336</v>
          </cell>
          <cell r="H268" t="str">
            <v>NA</v>
          </cell>
          <cell r="I268">
            <v>38917.729166666664</v>
          </cell>
          <cell r="J268">
            <v>39007.729166666664</v>
          </cell>
          <cell r="K268" t="str">
            <v>NA</v>
          </cell>
          <cell r="L268">
            <v>0.08</v>
          </cell>
          <cell r="M268">
            <v>1.88</v>
          </cell>
          <cell r="N268">
            <v>0</v>
          </cell>
          <cell r="O268">
            <v>0</v>
          </cell>
          <cell r="P268">
            <v>0</v>
          </cell>
          <cell r="Q268">
            <v>263</v>
          </cell>
          <cell r="R268">
            <v>267</v>
          </cell>
          <cell r="S268" t="str">
            <v>EQUIPE ELE</v>
          </cell>
          <cell r="T268">
            <v>39007</v>
          </cell>
        </row>
        <row r="269">
          <cell r="B269" t="str">
            <v>DE.250.LC.01</v>
          </cell>
          <cell r="D269" t="str">
            <v>Lista De Linhas/ Cabos</v>
          </cell>
          <cell r="E269" t="str">
            <v>4 dias</v>
          </cell>
          <cell r="F269">
            <v>38911.333333333336</v>
          </cell>
          <cell r="G269">
            <v>39008.333333333336</v>
          </cell>
          <cell r="H269" t="str">
            <v>NA</v>
          </cell>
          <cell r="I269">
            <v>38917.729166666664</v>
          </cell>
          <cell r="J269">
            <v>39013.729166666664</v>
          </cell>
          <cell r="K269" t="str">
            <v>NA</v>
          </cell>
          <cell r="L269">
            <v>7.0000000000000007E-2</v>
          </cell>
          <cell r="M269">
            <v>1.5</v>
          </cell>
          <cell r="N269">
            <v>0</v>
          </cell>
          <cell r="O269">
            <v>0</v>
          </cell>
          <cell r="P269">
            <v>0</v>
          </cell>
          <cell r="Q269">
            <v>266</v>
          </cell>
          <cell r="S269" t="str">
            <v>EQUIPE ELE</v>
          </cell>
          <cell r="T269">
            <v>39013</v>
          </cell>
        </row>
        <row r="270">
          <cell r="D270" t="str">
            <v>Instrumentação</v>
          </cell>
          <cell r="E270" t="str">
            <v>8 dias</v>
          </cell>
          <cell r="F270">
            <v>38905.333333333336</v>
          </cell>
          <cell r="G270">
            <v>39013.333333333336</v>
          </cell>
          <cell r="H270" t="str">
            <v>NA</v>
          </cell>
          <cell r="I270">
            <v>38917.729166666664</v>
          </cell>
          <cell r="J270">
            <v>39022.729166666664</v>
          </cell>
          <cell r="K270" t="str">
            <v>NA</v>
          </cell>
          <cell r="L270">
            <v>0.09</v>
          </cell>
          <cell r="M270">
            <v>2</v>
          </cell>
          <cell r="N270">
            <v>0</v>
          </cell>
          <cell r="O270">
            <v>0</v>
          </cell>
          <cell r="P270">
            <v>0</v>
          </cell>
          <cell r="T270">
            <v>39022</v>
          </cell>
        </row>
        <row r="271">
          <cell r="B271" t="str">
            <v>DT.250.AJ.01</v>
          </cell>
          <cell r="D271" t="str">
            <v>Arranjos/ Layout’s/ Plano Diretor - Locação De Instrumentos</v>
          </cell>
          <cell r="E271" t="str">
            <v>8 dias</v>
          </cell>
          <cell r="F271">
            <v>38905.333333333336</v>
          </cell>
          <cell r="G271">
            <v>39013.333333333336</v>
          </cell>
          <cell r="H271" t="str">
            <v>NA</v>
          </cell>
          <cell r="I271">
            <v>38917.729166666664</v>
          </cell>
          <cell r="J271">
            <v>39022.729166666664</v>
          </cell>
          <cell r="K271" t="str">
            <v>NA</v>
          </cell>
          <cell r="L271">
            <v>0.09</v>
          </cell>
          <cell r="M271">
            <v>2</v>
          </cell>
          <cell r="N271">
            <v>0</v>
          </cell>
          <cell r="O271">
            <v>0</v>
          </cell>
          <cell r="P271">
            <v>0</v>
          </cell>
          <cell r="Q271">
            <v>82</v>
          </cell>
          <cell r="S271" t="str">
            <v>EQUIPE TSA</v>
          </cell>
          <cell r="T271">
            <v>39022</v>
          </cell>
        </row>
        <row r="272">
          <cell r="B272" t="str">
            <v>1.1.9</v>
          </cell>
          <cell r="C272" t="str">
            <v>255A</v>
          </cell>
          <cell r="D272" t="str">
            <v>Deslamagem (2D)</v>
          </cell>
          <cell r="E272" t="str">
            <v>126 dias</v>
          </cell>
          <cell r="F272">
            <v>38866.333333333336</v>
          </cell>
          <cell r="G272">
            <v>38860.333333333336</v>
          </cell>
          <cell r="H272">
            <v>38860.333333333336</v>
          </cell>
          <cell r="I272">
            <v>38958.729166666664</v>
          </cell>
          <cell r="J272">
            <v>39050.729166666664</v>
          </cell>
          <cell r="K272" t="str">
            <v>NA</v>
          </cell>
          <cell r="L272">
            <v>4.79</v>
          </cell>
          <cell r="M272">
            <v>109.5</v>
          </cell>
          <cell r="N272">
            <v>14.58</v>
          </cell>
          <cell r="O272">
            <v>13.31</v>
          </cell>
          <cell r="P272">
            <v>13.31</v>
          </cell>
          <cell r="T272">
            <v>39050</v>
          </cell>
        </row>
        <row r="273">
          <cell r="D273" t="str">
            <v>Projeto Básico</v>
          </cell>
          <cell r="E273" t="str">
            <v>67 dias</v>
          </cell>
          <cell r="F273">
            <v>38866.333333333336</v>
          </cell>
          <cell r="G273">
            <v>38860.333333333336</v>
          </cell>
          <cell r="H273">
            <v>38860.333333333336</v>
          </cell>
          <cell r="I273">
            <v>38894.729166666664</v>
          </cell>
          <cell r="J273">
            <v>38958.729166666664</v>
          </cell>
          <cell r="K273" t="str">
            <v>NA</v>
          </cell>
          <cell r="L273">
            <v>0.86</v>
          </cell>
          <cell r="M273">
            <v>19.75</v>
          </cell>
          <cell r="N273">
            <v>14.58</v>
          </cell>
          <cell r="O273">
            <v>73.8</v>
          </cell>
          <cell r="P273">
            <v>73.8</v>
          </cell>
          <cell r="T273">
            <v>38958</v>
          </cell>
        </row>
        <row r="274">
          <cell r="D274" t="str">
            <v>Processo</v>
          </cell>
          <cell r="E274" t="str">
            <v>3 dias</v>
          </cell>
          <cell r="F274">
            <v>38866.333333333336</v>
          </cell>
          <cell r="G274">
            <v>38937.333333333336</v>
          </cell>
          <cell r="H274">
            <v>38937.333333333336</v>
          </cell>
          <cell r="I274">
            <v>38868.729166666664</v>
          </cell>
          <cell r="J274">
            <v>38939.729166666664</v>
          </cell>
          <cell r="K274" t="str">
            <v>NA</v>
          </cell>
          <cell r="L274">
            <v>0.15</v>
          </cell>
          <cell r="M274">
            <v>3.5</v>
          </cell>
          <cell r="N274">
            <v>1.75</v>
          </cell>
          <cell r="O274">
            <v>50</v>
          </cell>
          <cell r="P274">
            <v>50</v>
          </cell>
          <cell r="T274">
            <v>38939</v>
          </cell>
        </row>
        <row r="275">
          <cell r="B275" t="str">
            <v>BP.255.FD.01</v>
          </cell>
          <cell r="D275" t="str">
            <v>Folha De Dados - Hidrociclones/ Caixas Atrição</v>
          </cell>
          <cell r="E275" t="str">
            <v>3 dias</v>
          </cell>
          <cell r="F275">
            <v>38866.333333333336</v>
          </cell>
          <cell r="G275">
            <v>38937.333333333336</v>
          </cell>
          <cell r="H275">
            <v>38937.333333333336</v>
          </cell>
          <cell r="I275">
            <v>38868.729166666664</v>
          </cell>
          <cell r="J275">
            <v>38939.729166666664</v>
          </cell>
          <cell r="K275" t="str">
            <v>NA</v>
          </cell>
          <cell r="L275">
            <v>0.15</v>
          </cell>
          <cell r="M275">
            <v>3.5</v>
          </cell>
          <cell r="N275">
            <v>1.75</v>
          </cell>
          <cell r="O275">
            <v>50</v>
          </cell>
          <cell r="P275">
            <v>50</v>
          </cell>
          <cell r="Q275" t="str">
            <v>14II</v>
          </cell>
          <cell r="S275" t="str">
            <v>EQUIPE PRO</v>
          </cell>
          <cell r="T275">
            <v>38939</v>
          </cell>
        </row>
        <row r="276">
          <cell r="D276" t="str">
            <v>Mecânica</v>
          </cell>
          <cell r="E276" t="str">
            <v>11 dias</v>
          </cell>
          <cell r="F276">
            <v>38868.333333333336</v>
          </cell>
          <cell r="G276">
            <v>38926.333333333336</v>
          </cell>
          <cell r="H276">
            <v>38926.333333333336</v>
          </cell>
          <cell r="I276">
            <v>38887.729166666664</v>
          </cell>
          <cell r="J276">
            <v>38940.729166666664</v>
          </cell>
          <cell r="K276" t="str">
            <v>NA</v>
          </cell>
          <cell r="L276">
            <v>0.09</v>
          </cell>
          <cell r="M276">
            <v>2</v>
          </cell>
          <cell r="N276">
            <v>1.8</v>
          </cell>
          <cell r="O276">
            <v>90</v>
          </cell>
          <cell r="P276">
            <v>90</v>
          </cell>
          <cell r="T276">
            <v>38940</v>
          </cell>
        </row>
        <row r="277">
          <cell r="B277" t="str">
            <v>BB.255.DB.01</v>
          </cell>
          <cell r="D277" t="str">
            <v>Desenho Básico - Caixas de Polpa</v>
          </cell>
          <cell r="E277" t="str">
            <v>6 dias</v>
          </cell>
          <cell r="F277">
            <v>38868.333333333336</v>
          </cell>
          <cell r="G277">
            <v>38926.333333333336</v>
          </cell>
          <cell r="H277">
            <v>38926.333333333336</v>
          </cell>
          <cell r="I277">
            <v>38875.729166666664</v>
          </cell>
          <cell r="J277">
            <v>38933.729166666664</v>
          </cell>
          <cell r="K277" t="str">
            <v>NA</v>
          </cell>
          <cell r="L277">
            <v>0.09</v>
          </cell>
          <cell r="M277">
            <v>2</v>
          </cell>
          <cell r="N277">
            <v>1.8</v>
          </cell>
          <cell r="O277">
            <v>90</v>
          </cell>
          <cell r="P277">
            <v>90</v>
          </cell>
          <cell r="Q277" t="str">
            <v>14II;186</v>
          </cell>
          <cell r="R277" t="str">
            <v>276;278;283;291</v>
          </cell>
          <cell r="S277" t="str">
            <v>EQUIPE MEC</v>
          </cell>
          <cell r="T277">
            <v>38933</v>
          </cell>
        </row>
        <row r="278">
          <cell r="D278" t="str">
            <v>APROVAÇÃO EBX</v>
          </cell>
          <cell r="E278" t="str">
            <v>5 dias</v>
          </cell>
          <cell r="F278">
            <v>38876.333333333336</v>
          </cell>
          <cell r="G278">
            <v>38936.333333333336</v>
          </cell>
          <cell r="H278" t="str">
            <v>NA</v>
          </cell>
          <cell r="I278">
            <v>38887.729166666664</v>
          </cell>
          <cell r="J278">
            <v>38940.729166666664</v>
          </cell>
          <cell r="K278" t="str">
            <v>NA</v>
          </cell>
          <cell r="L278">
            <v>0</v>
          </cell>
          <cell r="M278">
            <v>0</v>
          </cell>
          <cell r="N278">
            <v>0</v>
          </cell>
          <cell r="O278">
            <v>0</v>
          </cell>
          <cell r="P278" t="str">
            <v>#ERRO</v>
          </cell>
          <cell r="Q278">
            <v>275</v>
          </cell>
          <cell r="T278">
            <v>38940</v>
          </cell>
        </row>
        <row r="279">
          <cell r="D279" t="str">
            <v>Tubulação</v>
          </cell>
          <cell r="E279" t="str">
            <v>67 dias</v>
          </cell>
          <cell r="F279">
            <v>38876.375</v>
          </cell>
          <cell r="G279">
            <v>38860.333333333336</v>
          </cell>
          <cell r="H279">
            <v>38860.333333333336</v>
          </cell>
          <cell r="I279">
            <v>38894.375</v>
          </cell>
          <cell r="J279">
            <v>38958.729166666664</v>
          </cell>
          <cell r="K279" t="str">
            <v>NA</v>
          </cell>
          <cell r="L279">
            <v>0.62</v>
          </cell>
          <cell r="M279">
            <v>14.25</v>
          </cell>
          <cell r="N279">
            <v>11.03</v>
          </cell>
          <cell r="O279">
            <v>77.37</v>
          </cell>
          <cell r="P279">
            <v>77.37</v>
          </cell>
          <cell r="T279">
            <v>38958</v>
          </cell>
        </row>
        <row r="280">
          <cell r="B280" t="str">
            <v>BH.255.DB.01</v>
          </cell>
          <cell r="D280" t="str">
            <v>Desenho Básico - Planta</v>
          </cell>
          <cell r="E280" t="str">
            <v>15 dias</v>
          </cell>
          <cell r="F280">
            <v>38876.375</v>
          </cell>
          <cell r="G280">
            <v>38936.333333333336</v>
          </cell>
          <cell r="H280" t="str">
            <v>NA</v>
          </cell>
          <cell r="I280">
            <v>38887.375</v>
          </cell>
          <cell r="J280">
            <v>38958.729166666664</v>
          </cell>
          <cell r="K280" t="str">
            <v>NA</v>
          </cell>
          <cell r="L280">
            <v>0.09</v>
          </cell>
          <cell r="M280">
            <v>2</v>
          </cell>
          <cell r="N280">
            <v>0</v>
          </cell>
          <cell r="O280">
            <v>0</v>
          </cell>
          <cell r="P280">
            <v>0</v>
          </cell>
          <cell r="Q280" t="str">
            <v>39II;275</v>
          </cell>
          <cell r="R280">
            <v>286</v>
          </cell>
          <cell r="S280" t="str">
            <v>EQUIPE TUB[33%]</v>
          </cell>
          <cell r="T280">
            <v>38958</v>
          </cell>
        </row>
        <row r="281">
          <cell r="B281" t="str">
            <v>BH.255.MC.01</v>
          </cell>
          <cell r="D281" t="str">
            <v>Memória De Cálculo - Bombas</v>
          </cell>
          <cell r="E281" t="str">
            <v>25 dias</v>
          </cell>
          <cell r="F281">
            <v>38887.375</v>
          </cell>
          <cell r="G281">
            <v>38860.333333333336</v>
          </cell>
          <cell r="H281">
            <v>38860.333333333336</v>
          </cell>
          <cell r="I281">
            <v>38894.375</v>
          </cell>
          <cell r="J281">
            <v>38896.729166666664</v>
          </cell>
          <cell r="K281" t="str">
            <v>NA</v>
          </cell>
          <cell r="L281">
            <v>0.54</v>
          </cell>
          <cell r="M281">
            <v>12.25</v>
          </cell>
          <cell r="N281">
            <v>11.03</v>
          </cell>
          <cell r="O281">
            <v>90</v>
          </cell>
          <cell r="P281">
            <v>90</v>
          </cell>
          <cell r="Q281" t="str">
            <v>39II</v>
          </cell>
          <cell r="S281" t="str">
            <v>EQUIPE TUB</v>
          </cell>
          <cell r="T281">
            <v>38896</v>
          </cell>
        </row>
        <row r="282">
          <cell r="D282" t="str">
            <v>Projeto Detalhado</v>
          </cell>
          <cell r="E282" t="str">
            <v>59 dias</v>
          </cell>
          <cell r="F282">
            <v>38894.333333333336</v>
          </cell>
          <cell r="G282">
            <v>38959.333333333336</v>
          </cell>
          <cell r="H282" t="str">
            <v>NA</v>
          </cell>
          <cell r="I282">
            <v>38958.729166666664</v>
          </cell>
          <cell r="J282">
            <v>39050.729166666664</v>
          </cell>
          <cell r="K282" t="str">
            <v>NA</v>
          </cell>
          <cell r="L282">
            <v>3.92</v>
          </cell>
          <cell r="M282">
            <v>89.75</v>
          </cell>
          <cell r="N282">
            <v>0</v>
          </cell>
          <cell r="O282">
            <v>0</v>
          </cell>
          <cell r="P282">
            <v>0</v>
          </cell>
          <cell r="T282">
            <v>39050</v>
          </cell>
        </row>
        <row r="283">
          <cell r="D283" t="str">
            <v>Mecânica</v>
          </cell>
          <cell r="E283" t="str">
            <v>13 dias</v>
          </cell>
          <cell r="F283">
            <v>38894.375</v>
          </cell>
          <cell r="G283">
            <v>38959.333333333336</v>
          </cell>
          <cell r="H283" t="str">
            <v>NA</v>
          </cell>
          <cell r="I283">
            <v>38911.375</v>
          </cell>
          <cell r="J283">
            <v>38979.729166666664</v>
          </cell>
          <cell r="K283" t="str">
            <v>NA</v>
          </cell>
          <cell r="L283">
            <v>0.31</v>
          </cell>
          <cell r="M283">
            <v>7</v>
          </cell>
          <cell r="N283">
            <v>0</v>
          </cell>
          <cell r="O283">
            <v>0</v>
          </cell>
          <cell r="P283">
            <v>0</v>
          </cell>
          <cell r="T283">
            <v>38979</v>
          </cell>
        </row>
        <row r="284">
          <cell r="D284" t="str">
            <v>Desenho De Detalhamento</v>
          </cell>
          <cell r="E284" t="str">
            <v>13 dias</v>
          </cell>
          <cell r="F284">
            <v>38894.333333333336</v>
          </cell>
          <cell r="G284">
            <v>38959.333333333336</v>
          </cell>
          <cell r="H284" t="str">
            <v>NA</v>
          </cell>
          <cell r="I284">
            <v>38911.729166666664</v>
          </cell>
          <cell r="J284">
            <v>38979.729166666664</v>
          </cell>
          <cell r="K284" t="str">
            <v>NA</v>
          </cell>
          <cell r="L284">
            <v>0.31</v>
          </cell>
          <cell r="M284">
            <v>7</v>
          </cell>
          <cell r="N284">
            <v>0</v>
          </cell>
          <cell r="O284">
            <v>0</v>
          </cell>
          <cell r="P284">
            <v>0</v>
          </cell>
          <cell r="T284">
            <v>38979</v>
          </cell>
        </row>
        <row r="285">
          <cell r="B285" t="str">
            <v>DB.255.DD.01</v>
          </cell>
          <cell r="D285" t="str">
            <v>Caldeiraria</v>
          </cell>
          <cell r="E285" t="str">
            <v>7 dias</v>
          </cell>
          <cell r="F285">
            <v>38894.333333333336</v>
          </cell>
          <cell r="G285">
            <v>38959.333333333336</v>
          </cell>
          <cell r="H285" t="str">
            <v>NA</v>
          </cell>
          <cell r="I285">
            <v>38902.729166666664</v>
          </cell>
          <cell r="J285">
            <v>38971.729166666664</v>
          </cell>
          <cell r="K285" t="str">
            <v>NA</v>
          </cell>
          <cell r="L285">
            <v>0.17</v>
          </cell>
          <cell r="M285">
            <v>4</v>
          </cell>
          <cell r="N285">
            <v>0</v>
          </cell>
          <cell r="O285">
            <v>0</v>
          </cell>
          <cell r="P285">
            <v>0</v>
          </cell>
          <cell r="Q285" t="str">
            <v>30TI+15 dias;275</v>
          </cell>
          <cell r="R285">
            <v>284</v>
          </cell>
          <cell r="S285" t="str">
            <v>EQUIPE MEC</v>
          </cell>
          <cell r="T285">
            <v>38971</v>
          </cell>
        </row>
        <row r="286">
          <cell r="B286" t="str">
            <v>DB.255.DD.02</v>
          </cell>
          <cell r="D286" t="str">
            <v>Calha</v>
          </cell>
          <cell r="E286" t="str">
            <v>6 dias</v>
          </cell>
          <cell r="F286">
            <v>38903.333333333336</v>
          </cell>
          <cell r="G286">
            <v>38972.333333333336</v>
          </cell>
          <cell r="H286" t="str">
            <v>NA</v>
          </cell>
          <cell r="I286">
            <v>38911.729166666664</v>
          </cell>
          <cell r="J286">
            <v>38979.729166666664</v>
          </cell>
          <cell r="K286" t="str">
            <v>NA</v>
          </cell>
          <cell r="L286">
            <v>0.13</v>
          </cell>
          <cell r="M286">
            <v>3</v>
          </cell>
          <cell r="N286">
            <v>0</v>
          </cell>
          <cell r="O286">
            <v>0</v>
          </cell>
          <cell r="P286">
            <v>0</v>
          </cell>
          <cell r="Q286">
            <v>283</v>
          </cell>
          <cell r="S286" t="str">
            <v>EQUIPE MEC</v>
          </cell>
          <cell r="T286">
            <v>38979</v>
          </cell>
        </row>
        <row r="287">
          <cell r="D287" t="str">
            <v>Tubulação</v>
          </cell>
          <cell r="E287" t="str">
            <v>47 dias</v>
          </cell>
          <cell r="F287">
            <v>38911.333333333336</v>
          </cell>
          <cell r="G287">
            <v>38959.333333333336</v>
          </cell>
          <cell r="H287" t="str">
            <v>NA</v>
          </cell>
          <cell r="I287">
            <v>38958.729166666664</v>
          </cell>
          <cell r="J287">
            <v>39031.729166666664</v>
          </cell>
          <cell r="K287" t="str">
            <v>NA</v>
          </cell>
          <cell r="L287">
            <v>2.14</v>
          </cell>
          <cell r="M287">
            <v>49</v>
          </cell>
          <cell r="N287">
            <v>0</v>
          </cell>
          <cell r="O287">
            <v>0</v>
          </cell>
          <cell r="P287">
            <v>0</v>
          </cell>
          <cell r="T287">
            <v>39031</v>
          </cell>
        </row>
        <row r="288">
          <cell r="B288" t="str">
            <v>DH.255.DD.01</v>
          </cell>
          <cell r="D288" t="str">
            <v>Desenho De Detalhamento - Planta de Tubulação</v>
          </cell>
          <cell r="E288" t="str">
            <v>14 dias</v>
          </cell>
          <cell r="F288">
            <v>38911.333333333336</v>
          </cell>
          <cell r="G288">
            <v>38959.333333333336</v>
          </cell>
          <cell r="H288" t="str">
            <v>NA</v>
          </cell>
          <cell r="I288">
            <v>38930.729166666664</v>
          </cell>
          <cell r="J288">
            <v>38980.729166666664</v>
          </cell>
          <cell r="K288" t="str">
            <v>NA</v>
          </cell>
          <cell r="L288">
            <v>0.44</v>
          </cell>
          <cell r="M288">
            <v>10</v>
          </cell>
          <cell r="N288">
            <v>0</v>
          </cell>
          <cell r="O288">
            <v>0</v>
          </cell>
          <cell r="P288">
            <v>0</v>
          </cell>
          <cell r="Q288" t="str">
            <v>39II;278</v>
          </cell>
          <cell r="R288" t="str">
            <v>287;293</v>
          </cell>
          <cell r="S288" t="str">
            <v>EQUIPE TUB</v>
          </cell>
          <cell r="T288">
            <v>38980</v>
          </cell>
        </row>
        <row r="289">
          <cell r="B289" t="str">
            <v>DH.255.DE.01</v>
          </cell>
          <cell r="D289" t="str">
            <v>Detalhes Típicos - Suporte</v>
          </cell>
          <cell r="E289" t="str">
            <v>20 dias</v>
          </cell>
          <cell r="F289">
            <v>38931.333333333336</v>
          </cell>
          <cell r="G289">
            <v>38981.333333333336</v>
          </cell>
          <cell r="H289" t="str">
            <v>NA</v>
          </cell>
          <cell r="I289">
            <v>38953.729166666664</v>
          </cell>
          <cell r="J289">
            <v>39010.729166666664</v>
          </cell>
          <cell r="K289" t="str">
            <v>NA</v>
          </cell>
          <cell r="L289">
            <v>1.1399999999999999</v>
          </cell>
          <cell r="M289">
            <v>26</v>
          </cell>
          <cell r="N289">
            <v>0</v>
          </cell>
          <cell r="O289">
            <v>0</v>
          </cell>
          <cell r="P289">
            <v>0</v>
          </cell>
          <cell r="Q289">
            <v>286</v>
          </cell>
          <cell r="R289" t="str">
            <v>288;293</v>
          </cell>
          <cell r="S289" t="str">
            <v>EQUIPE TUB</v>
          </cell>
          <cell r="T289">
            <v>39010</v>
          </cell>
        </row>
        <row r="290">
          <cell r="B290" t="str">
            <v>DH.255.IS.01</v>
          </cell>
          <cell r="D290" t="str">
            <v>Isométrico</v>
          </cell>
          <cell r="E290" t="str">
            <v>11 dias</v>
          </cell>
          <cell r="F290">
            <v>38931.333333333336</v>
          </cell>
          <cell r="G290">
            <v>39013.333333333336</v>
          </cell>
          <cell r="H290" t="str">
            <v>NA</v>
          </cell>
          <cell r="I290">
            <v>38949.729166666664</v>
          </cell>
          <cell r="J290">
            <v>39029.729166666664</v>
          </cell>
          <cell r="K290" t="str">
            <v>NA</v>
          </cell>
          <cell r="L290">
            <v>0.39</v>
          </cell>
          <cell r="M290">
            <v>9</v>
          </cell>
          <cell r="N290">
            <v>0</v>
          </cell>
          <cell r="O290">
            <v>0</v>
          </cell>
          <cell r="P290">
            <v>0</v>
          </cell>
          <cell r="Q290">
            <v>287</v>
          </cell>
          <cell r="R290">
            <v>289</v>
          </cell>
          <cell r="S290" t="str">
            <v>EQUIPE TUB</v>
          </cell>
          <cell r="T290">
            <v>39029</v>
          </cell>
        </row>
        <row r="291">
          <cell r="B291" t="str">
            <v>DH.255.LM.01</v>
          </cell>
          <cell r="D291" t="str">
            <v>Lista De Materiais</v>
          </cell>
          <cell r="E291" t="str">
            <v>2 dias</v>
          </cell>
          <cell r="F291">
            <v>38954.333333333336</v>
          </cell>
          <cell r="G291">
            <v>39030.333333333336</v>
          </cell>
          <cell r="H291" t="str">
            <v>NA</v>
          </cell>
          <cell r="I291">
            <v>38958.729166666664</v>
          </cell>
          <cell r="J291">
            <v>39031.729166666664</v>
          </cell>
          <cell r="K291" t="str">
            <v>NA</v>
          </cell>
          <cell r="L291">
            <v>0.17</v>
          </cell>
          <cell r="M291">
            <v>4</v>
          </cell>
          <cell r="N291">
            <v>0</v>
          </cell>
          <cell r="O291">
            <v>0</v>
          </cell>
          <cell r="P291">
            <v>0</v>
          </cell>
          <cell r="Q291">
            <v>288</v>
          </cell>
          <cell r="S291" t="str">
            <v>EQUIPE TUB</v>
          </cell>
          <cell r="T291">
            <v>39031</v>
          </cell>
        </row>
        <row r="292">
          <cell r="D292" t="str">
            <v>Civil</v>
          </cell>
          <cell r="E292" t="str">
            <v>20 dias</v>
          </cell>
          <cell r="F292">
            <v>38911.333333333336</v>
          </cell>
          <cell r="G292">
            <v>38961.333333333336</v>
          </cell>
          <cell r="H292" t="str">
            <v>NA</v>
          </cell>
          <cell r="I292">
            <v>38919.729166666664</v>
          </cell>
          <cell r="J292">
            <v>38992.729166666664</v>
          </cell>
          <cell r="K292" t="str">
            <v>NA</v>
          </cell>
          <cell r="L292">
            <v>0.13</v>
          </cell>
          <cell r="M292">
            <v>3</v>
          </cell>
          <cell r="N292">
            <v>0</v>
          </cell>
          <cell r="O292">
            <v>0</v>
          </cell>
          <cell r="P292">
            <v>0</v>
          </cell>
          <cell r="T292">
            <v>38992</v>
          </cell>
        </row>
        <row r="293">
          <cell r="B293" t="str">
            <v>DC.255.DD.01</v>
          </cell>
          <cell r="D293" t="str">
            <v>Desenho De Detalhamento - Forma e Armação</v>
          </cell>
          <cell r="E293" t="str">
            <v>20 dias</v>
          </cell>
          <cell r="F293">
            <v>38911.333333333336</v>
          </cell>
          <cell r="G293">
            <v>38961.333333333336</v>
          </cell>
          <cell r="H293" t="str">
            <v>NA</v>
          </cell>
          <cell r="I293">
            <v>38919.729166666664</v>
          </cell>
          <cell r="J293">
            <v>38992.729166666664</v>
          </cell>
          <cell r="K293" t="str">
            <v>NA</v>
          </cell>
          <cell r="L293">
            <v>0.13</v>
          </cell>
          <cell r="M293">
            <v>3</v>
          </cell>
          <cell r="N293">
            <v>0</v>
          </cell>
          <cell r="O293">
            <v>0</v>
          </cell>
          <cell r="P293">
            <v>0</v>
          </cell>
          <cell r="Q293" t="str">
            <v>275;407</v>
          </cell>
          <cell r="R293">
            <v>298</v>
          </cell>
          <cell r="S293" t="str">
            <v>EQUIPE CIV[30%]</v>
          </cell>
          <cell r="T293">
            <v>38992</v>
          </cell>
        </row>
        <row r="294">
          <cell r="D294" t="str">
            <v>Estrutura Metálica</v>
          </cell>
          <cell r="E294" t="str">
            <v>7 dias</v>
          </cell>
          <cell r="F294">
            <v>38911.375</v>
          </cell>
          <cell r="G294">
            <v>39013.333333333336</v>
          </cell>
          <cell r="H294" t="str">
            <v>NA</v>
          </cell>
          <cell r="I294">
            <v>38931.375</v>
          </cell>
          <cell r="J294">
            <v>39021.729166666664</v>
          </cell>
          <cell r="K294" t="str">
            <v>NA</v>
          </cell>
          <cell r="L294">
            <v>0.51</v>
          </cell>
          <cell r="M294">
            <v>11.75</v>
          </cell>
          <cell r="N294">
            <v>0</v>
          </cell>
          <cell r="O294">
            <v>0</v>
          </cell>
          <cell r="P294">
            <v>0</v>
          </cell>
          <cell r="T294">
            <v>39021</v>
          </cell>
        </row>
        <row r="295">
          <cell r="B295" t="str">
            <v>DD.255.DP.01</v>
          </cell>
          <cell r="D295" t="str">
            <v>Desenho De Projeto</v>
          </cell>
          <cell r="E295" t="str">
            <v>6 dias</v>
          </cell>
          <cell r="F295">
            <v>38911.375</v>
          </cell>
          <cell r="G295">
            <v>39013.333333333336</v>
          </cell>
          <cell r="H295" t="str">
            <v>NA</v>
          </cell>
          <cell r="I295">
            <v>38919.375</v>
          </cell>
          <cell r="J295">
            <v>39020.729166666664</v>
          </cell>
          <cell r="K295" t="str">
            <v>NA</v>
          </cell>
          <cell r="L295">
            <v>0.17</v>
          </cell>
          <cell r="M295">
            <v>4</v>
          </cell>
          <cell r="N295">
            <v>0</v>
          </cell>
          <cell r="O295">
            <v>0</v>
          </cell>
          <cell r="P295">
            <v>0</v>
          </cell>
          <cell r="Q295" t="str">
            <v>286;287</v>
          </cell>
          <cell r="R295" t="str">
            <v>294;295II</v>
          </cell>
          <cell r="S295" t="str">
            <v>EQUIPE MET</v>
          </cell>
          <cell r="T295">
            <v>39020</v>
          </cell>
        </row>
        <row r="296">
          <cell r="B296" t="str">
            <v>DD.255.LM.01</v>
          </cell>
          <cell r="D296" t="str">
            <v>Lista De Materiais</v>
          </cell>
          <cell r="E296" t="str">
            <v>1 dia</v>
          </cell>
          <cell r="F296">
            <v>38919.375</v>
          </cell>
          <cell r="G296">
            <v>39021.333333333336</v>
          </cell>
          <cell r="H296" t="str">
            <v>NA</v>
          </cell>
          <cell r="I296">
            <v>38922.375</v>
          </cell>
          <cell r="J296">
            <v>39021.729166666664</v>
          </cell>
          <cell r="K296" t="str">
            <v>NA</v>
          </cell>
          <cell r="L296">
            <v>0.01</v>
          </cell>
          <cell r="M296">
            <v>0.25</v>
          </cell>
          <cell r="N296">
            <v>0</v>
          </cell>
          <cell r="O296">
            <v>0</v>
          </cell>
          <cell r="P296">
            <v>0</v>
          </cell>
          <cell r="Q296">
            <v>293</v>
          </cell>
          <cell r="S296" t="str">
            <v>EQUIPE MET</v>
          </cell>
          <cell r="T296">
            <v>39021</v>
          </cell>
        </row>
        <row r="297">
          <cell r="B297" t="str">
            <v>DD.255.MC.01</v>
          </cell>
          <cell r="D297" t="str">
            <v>Memória De Cálculo</v>
          </cell>
          <cell r="E297" t="str">
            <v>7 dias</v>
          </cell>
          <cell r="F297">
            <v>38922.375</v>
          </cell>
          <cell r="G297">
            <v>39013.333333333336</v>
          </cell>
          <cell r="H297" t="str">
            <v>NA</v>
          </cell>
          <cell r="I297">
            <v>38931.375</v>
          </cell>
          <cell r="J297">
            <v>39021.729166666664</v>
          </cell>
          <cell r="K297" t="str">
            <v>NA</v>
          </cell>
          <cell r="L297">
            <v>0.33</v>
          </cell>
          <cell r="M297">
            <v>7.5</v>
          </cell>
          <cell r="N297">
            <v>0</v>
          </cell>
          <cell r="O297">
            <v>0</v>
          </cell>
          <cell r="P297">
            <v>0</v>
          </cell>
          <cell r="Q297" t="str">
            <v>293II</v>
          </cell>
          <cell r="S297" t="str">
            <v>EQUIPE MET</v>
          </cell>
          <cell r="T297">
            <v>39021</v>
          </cell>
        </row>
        <row r="298">
          <cell r="D298" t="str">
            <v>Elétrica</v>
          </cell>
          <cell r="E298" t="str">
            <v>37 dias</v>
          </cell>
          <cell r="F298">
            <v>38919.333333333336</v>
          </cell>
          <cell r="G298">
            <v>38993.333333333336</v>
          </cell>
          <cell r="H298" t="str">
            <v>NA</v>
          </cell>
          <cell r="I298">
            <v>38953.729166666664</v>
          </cell>
          <cell r="J298">
            <v>39050.729166666664</v>
          </cell>
          <cell r="K298" t="str">
            <v>NA</v>
          </cell>
          <cell r="L298">
            <v>0.74</v>
          </cell>
          <cell r="M298">
            <v>17</v>
          </cell>
          <cell r="N298">
            <v>0</v>
          </cell>
          <cell r="O298">
            <v>0</v>
          </cell>
          <cell r="P298">
            <v>0</v>
          </cell>
          <cell r="T298">
            <v>39050</v>
          </cell>
        </row>
        <row r="299">
          <cell r="D299" t="str">
            <v>Desenho De Detalhamento</v>
          </cell>
          <cell r="E299" t="str">
            <v>30 dias</v>
          </cell>
          <cell r="F299">
            <v>38919.333333333336</v>
          </cell>
          <cell r="G299">
            <v>38993.333333333336</v>
          </cell>
          <cell r="H299" t="str">
            <v>NA</v>
          </cell>
          <cell r="I299">
            <v>38939.729166666664</v>
          </cell>
          <cell r="J299">
            <v>39041.729166666664</v>
          </cell>
          <cell r="K299" t="str">
            <v>NA</v>
          </cell>
          <cell r="L299">
            <v>0.61</v>
          </cell>
          <cell r="M299">
            <v>14</v>
          </cell>
          <cell r="N299">
            <v>0</v>
          </cell>
          <cell r="O299">
            <v>0</v>
          </cell>
          <cell r="P299">
            <v>0</v>
          </cell>
          <cell r="R299">
            <v>300</v>
          </cell>
          <cell r="T299">
            <v>39041</v>
          </cell>
        </row>
        <row r="300">
          <cell r="B300" t="str">
            <v>DE.255.DD.01</v>
          </cell>
          <cell r="D300" t="str">
            <v>Disposição De Força, Controle e Aterramento</v>
          </cell>
          <cell r="E300" t="str">
            <v>15 dias</v>
          </cell>
          <cell r="F300">
            <v>38919.333333333336</v>
          </cell>
          <cell r="G300">
            <v>38993.333333333336</v>
          </cell>
          <cell r="H300" t="str">
            <v>NA</v>
          </cell>
          <cell r="I300">
            <v>38939.729166666664</v>
          </cell>
          <cell r="J300">
            <v>39015.729166666664</v>
          </cell>
          <cell r="K300" t="str">
            <v>NA</v>
          </cell>
          <cell r="L300">
            <v>0.31</v>
          </cell>
          <cell r="M300">
            <v>7</v>
          </cell>
          <cell r="N300">
            <v>0</v>
          </cell>
          <cell r="O300">
            <v>0</v>
          </cell>
          <cell r="P300">
            <v>0</v>
          </cell>
          <cell r="Q300">
            <v>291</v>
          </cell>
          <cell r="R300">
            <v>299</v>
          </cell>
          <cell r="S300" t="str">
            <v>EQUIPE ELE</v>
          </cell>
          <cell r="T300">
            <v>39015</v>
          </cell>
        </row>
        <row r="301">
          <cell r="B301" t="str">
            <v>DE.255.DD.02</v>
          </cell>
          <cell r="D301" t="str">
            <v>Iluminação</v>
          </cell>
          <cell r="E301" t="str">
            <v>15 dias</v>
          </cell>
          <cell r="F301">
            <v>38919.333333333336</v>
          </cell>
          <cell r="G301">
            <v>39016.333333333336</v>
          </cell>
          <cell r="H301" t="str">
            <v>NA</v>
          </cell>
          <cell r="I301">
            <v>38939.729166666664</v>
          </cell>
          <cell r="J301">
            <v>39041.729166666664</v>
          </cell>
          <cell r="K301" t="str">
            <v>NA</v>
          </cell>
          <cell r="L301">
            <v>0.31</v>
          </cell>
          <cell r="M301">
            <v>7</v>
          </cell>
          <cell r="N301">
            <v>0</v>
          </cell>
          <cell r="O301">
            <v>0</v>
          </cell>
          <cell r="P301">
            <v>0</v>
          </cell>
          <cell r="Q301">
            <v>298</v>
          </cell>
          <cell r="S301" t="str">
            <v>EQUIPE ELE</v>
          </cell>
          <cell r="T301">
            <v>39041</v>
          </cell>
        </row>
        <row r="302">
          <cell r="B302" t="str">
            <v>DE.255.LC.01</v>
          </cell>
          <cell r="D302" t="str">
            <v>Lista De Linhas/ Cabos</v>
          </cell>
          <cell r="E302" t="str">
            <v>7 dias</v>
          </cell>
          <cell r="F302">
            <v>38940.333333333336</v>
          </cell>
          <cell r="G302">
            <v>39042.333333333336</v>
          </cell>
          <cell r="H302" t="str">
            <v>NA</v>
          </cell>
          <cell r="I302">
            <v>38953.729166666664</v>
          </cell>
          <cell r="J302">
            <v>39050.729166666664</v>
          </cell>
          <cell r="K302" t="str">
            <v>NA</v>
          </cell>
          <cell r="L302">
            <v>0.13</v>
          </cell>
          <cell r="M302">
            <v>3</v>
          </cell>
          <cell r="N302">
            <v>0</v>
          </cell>
          <cell r="O302">
            <v>0</v>
          </cell>
          <cell r="P302">
            <v>0</v>
          </cell>
          <cell r="Q302">
            <v>297</v>
          </cell>
          <cell r="S302" t="str">
            <v>EQUIPE ELE</v>
          </cell>
          <cell r="T302">
            <v>39050</v>
          </cell>
        </row>
        <row r="303">
          <cell r="D303" t="str">
            <v>Instrumentação</v>
          </cell>
          <cell r="E303" t="str">
            <v>8 dias</v>
          </cell>
          <cell r="F303">
            <v>38911.333333333336</v>
          </cell>
          <cell r="G303">
            <v>39027.333333333336</v>
          </cell>
          <cell r="H303" t="str">
            <v>NA</v>
          </cell>
          <cell r="I303">
            <v>38923.729166666664</v>
          </cell>
          <cell r="J303">
            <v>39037.729166666664</v>
          </cell>
          <cell r="K303" t="str">
            <v>NA</v>
          </cell>
          <cell r="L303">
            <v>0.09</v>
          </cell>
          <cell r="M303">
            <v>2</v>
          </cell>
          <cell r="N303">
            <v>0</v>
          </cell>
          <cell r="O303">
            <v>0</v>
          </cell>
          <cell r="P303">
            <v>0</v>
          </cell>
          <cell r="T303">
            <v>39037</v>
          </cell>
        </row>
        <row r="304">
          <cell r="B304" t="str">
            <v>DT.255.AJ.01</v>
          </cell>
          <cell r="D304" t="str">
            <v>Arranjos/ Layout’s/ Plano Diretor - Locação De Instrumentos</v>
          </cell>
          <cell r="E304" t="str">
            <v>8 dias</v>
          </cell>
          <cell r="F304">
            <v>38911.333333333336</v>
          </cell>
          <cell r="G304">
            <v>39027.333333333336</v>
          </cell>
          <cell r="H304" t="str">
            <v>NA</v>
          </cell>
          <cell r="I304">
            <v>38923.729166666664</v>
          </cell>
          <cell r="J304">
            <v>39037.729166666664</v>
          </cell>
          <cell r="K304" t="str">
            <v>NA</v>
          </cell>
          <cell r="L304">
            <v>0.09</v>
          </cell>
          <cell r="M304">
            <v>2</v>
          </cell>
          <cell r="N304">
            <v>0</v>
          </cell>
          <cell r="O304">
            <v>0</v>
          </cell>
          <cell r="P304">
            <v>0</v>
          </cell>
          <cell r="Q304">
            <v>417</v>
          </cell>
          <cell r="R304" t="str">
            <v>180;456</v>
          </cell>
          <cell r="S304" t="str">
            <v>EQUIPE TSA</v>
          </cell>
          <cell r="T304">
            <v>39037</v>
          </cell>
        </row>
        <row r="305">
          <cell r="B305" t="str">
            <v>1.1.10</v>
          </cell>
          <cell r="C305" t="str">
            <v>260A</v>
          </cell>
          <cell r="D305" t="str">
            <v>Espessamento de Lamas (1B)</v>
          </cell>
          <cell r="E305" t="str">
            <v>98 dias</v>
          </cell>
          <cell r="F305">
            <v>38863.333333333336</v>
          </cell>
          <cell r="G305">
            <v>38877.333333333336</v>
          </cell>
          <cell r="H305">
            <v>38877.333333333336</v>
          </cell>
          <cell r="I305">
            <v>38958.729166666664</v>
          </cell>
          <cell r="J305">
            <v>39028.729166666664</v>
          </cell>
          <cell r="K305" t="str">
            <v>NA</v>
          </cell>
          <cell r="L305">
            <v>2.29</v>
          </cell>
          <cell r="M305">
            <v>52.5</v>
          </cell>
          <cell r="N305">
            <v>9.65</v>
          </cell>
          <cell r="O305">
            <v>18.38</v>
          </cell>
          <cell r="P305">
            <v>18.38</v>
          </cell>
          <cell r="T305">
            <v>39028</v>
          </cell>
        </row>
        <row r="306">
          <cell r="D306" t="str">
            <v>Projeto Básico</v>
          </cell>
          <cell r="E306" t="str">
            <v>45 dias</v>
          </cell>
          <cell r="F306">
            <v>38863.333333333336</v>
          </cell>
          <cell r="G306">
            <v>38877.333333333336</v>
          </cell>
          <cell r="H306">
            <v>38877.333333333336</v>
          </cell>
          <cell r="I306">
            <v>38898.729166666664</v>
          </cell>
          <cell r="J306">
            <v>38945.729166666664</v>
          </cell>
          <cell r="K306" t="str">
            <v>NA</v>
          </cell>
          <cell r="L306">
            <v>0.55000000000000004</v>
          </cell>
          <cell r="M306">
            <v>12.5</v>
          </cell>
          <cell r="N306">
            <v>9.65</v>
          </cell>
          <cell r="O306">
            <v>77.2</v>
          </cell>
          <cell r="P306">
            <v>77.2</v>
          </cell>
          <cell r="T306">
            <v>38945</v>
          </cell>
        </row>
        <row r="307">
          <cell r="D307" t="str">
            <v>Processo</v>
          </cell>
          <cell r="E307" t="str">
            <v>2 dias</v>
          </cell>
          <cell r="F307">
            <v>38863.333333333336</v>
          </cell>
          <cell r="G307">
            <v>38930.333333333336</v>
          </cell>
          <cell r="H307">
            <v>38930.333333333336</v>
          </cell>
          <cell r="I307">
            <v>38866.729166666664</v>
          </cell>
          <cell r="J307">
            <v>38931.729166666664</v>
          </cell>
          <cell r="K307">
            <v>38931.729166666664</v>
          </cell>
          <cell r="L307">
            <v>0.09</v>
          </cell>
          <cell r="M307">
            <v>2</v>
          </cell>
          <cell r="N307">
            <v>2</v>
          </cell>
          <cell r="O307">
            <v>100</v>
          </cell>
          <cell r="P307">
            <v>100</v>
          </cell>
          <cell r="T307">
            <v>38931</v>
          </cell>
        </row>
        <row r="308">
          <cell r="B308" t="str">
            <v>BP.260.FD.01</v>
          </cell>
          <cell r="D308" t="str">
            <v>Folha De Dados - Espessador de Lamas</v>
          </cell>
          <cell r="E308" t="str">
            <v>2 dias</v>
          </cell>
          <cell r="F308">
            <v>38863.333333333336</v>
          </cell>
          <cell r="G308">
            <v>38930.333333333336</v>
          </cell>
          <cell r="H308">
            <v>38930.333333333336</v>
          </cell>
          <cell r="I308">
            <v>38866.729166666664</v>
          </cell>
          <cell r="J308">
            <v>38931.729166666664</v>
          </cell>
          <cell r="K308">
            <v>38931.729166666664</v>
          </cell>
          <cell r="L308">
            <v>0.09</v>
          </cell>
          <cell r="M308">
            <v>2</v>
          </cell>
          <cell r="N308">
            <v>2</v>
          </cell>
          <cell r="O308">
            <v>100</v>
          </cell>
          <cell r="P308">
            <v>100</v>
          </cell>
          <cell r="Q308" t="str">
            <v>14II</v>
          </cell>
          <cell r="R308" t="str">
            <v>315TI+30 dias;318TI+15 dias</v>
          </cell>
          <cell r="S308" t="str">
            <v>EQUIPE PRO</v>
          </cell>
          <cell r="T308">
            <v>38931</v>
          </cell>
        </row>
        <row r="309">
          <cell r="D309" t="str">
            <v>Mecânica</v>
          </cell>
          <cell r="E309" t="str">
            <v>11 dias</v>
          </cell>
          <cell r="F309">
            <v>38866.333333333336</v>
          </cell>
          <cell r="G309">
            <v>38882.333333333336</v>
          </cell>
          <cell r="H309">
            <v>38882.333333333336</v>
          </cell>
          <cell r="I309">
            <v>38881.729166666664</v>
          </cell>
          <cell r="J309">
            <v>38898.729166666664</v>
          </cell>
          <cell r="K309" t="str">
            <v>NA</v>
          </cell>
          <cell r="L309">
            <v>0.1</v>
          </cell>
          <cell r="M309">
            <v>2.25</v>
          </cell>
          <cell r="N309">
            <v>2.0299999999999998</v>
          </cell>
          <cell r="O309">
            <v>90</v>
          </cell>
          <cell r="P309">
            <v>90</v>
          </cell>
          <cell r="T309">
            <v>38898</v>
          </cell>
        </row>
        <row r="310">
          <cell r="B310" t="str">
            <v>BB.260.DB.01</v>
          </cell>
          <cell r="D310" t="str">
            <v>Desenho Básico - Planta e Cortes</v>
          </cell>
          <cell r="E310" t="str">
            <v>6 dias</v>
          </cell>
          <cell r="F310">
            <v>38866.333333333336</v>
          </cell>
          <cell r="G310">
            <v>38882.333333333336</v>
          </cell>
          <cell r="H310">
            <v>38882.333333333336</v>
          </cell>
          <cell r="I310">
            <v>38873.729166666664</v>
          </cell>
          <cell r="J310">
            <v>38891.729166666664</v>
          </cell>
          <cell r="K310" t="str">
            <v>NA</v>
          </cell>
          <cell r="L310">
            <v>0.1</v>
          </cell>
          <cell r="M310">
            <v>2.25</v>
          </cell>
          <cell r="N310">
            <v>2.0299999999999998</v>
          </cell>
          <cell r="O310">
            <v>90</v>
          </cell>
          <cell r="P310">
            <v>90</v>
          </cell>
          <cell r="Q310" t="str">
            <v>90II</v>
          </cell>
          <cell r="R310" t="str">
            <v>309;311;315;318</v>
          </cell>
          <cell r="S310" t="str">
            <v>EQUIPE MEC</v>
          </cell>
          <cell r="T310">
            <v>38891</v>
          </cell>
        </row>
        <row r="311">
          <cell r="D311" t="str">
            <v>APROVAÇÃO EBX</v>
          </cell>
          <cell r="E311" t="str">
            <v>5 dias</v>
          </cell>
          <cell r="F311">
            <v>38874.333333333336</v>
          </cell>
          <cell r="G311">
            <v>38894.333333333336</v>
          </cell>
          <cell r="H311" t="str">
            <v>NA</v>
          </cell>
          <cell r="I311">
            <v>38881.729166666664</v>
          </cell>
          <cell r="J311">
            <v>38898.729166666664</v>
          </cell>
          <cell r="K311" t="str">
            <v>NA</v>
          </cell>
          <cell r="L311">
            <v>0</v>
          </cell>
          <cell r="M311">
            <v>0</v>
          </cell>
          <cell r="N311">
            <v>0</v>
          </cell>
          <cell r="O311">
            <v>0</v>
          </cell>
          <cell r="P311" t="str">
            <v>#ERRO</v>
          </cell>
          <cell r="Q311">
            <v>308</v>
          </cell>
          <cell r="T311">
            <v>38898</v>
          </cell>
        </row>
        <row r="312">
          <cell r="D312" t="str">
            <v>Tubulação</v>
          </cell>
          <cell r="E312" t="str">
            <v>45 dias</v>
          </cell>
          <cell r="F312">
            <v>38874.333333333336</v>
          </cell>
          <cell r="G312">
            <v>38877.333333333336</v>
          </cell>
          <cell r="H312">
            <v>38877.333333333336</v>
          </cell>
          <cell r="I312">
            <v>38898.729166666664</v>
          </cell>
          <cell r="J312">
            <v>38945.729166666664</v>
          </cell>
          <cell r="K312" t="str">
            <v>NA</v>
          </cell>
          <cell r="L312">
            <v>0.36</v>
          </cell>
          <cell r="M312">
            <v>8.25</v>
          </cell>
          <cell r="N312">
            <v>5.63</v>
          </cell>
          <cell r="O312">
            <v>68.180000000000007</v>
          </cell>
          <cell r="P312">
            <v>68.180000000000007</v>
          </cell>
          <cell r="T312">
            <v>38945</v>
          </cell>
        </row>
        <row r="313">
          <cell r="B313" t="str">
            <v>BH.260.DB.01</v>
          </cell>
          <cell r="D313" t="str">
            <v>Desenho Básico - Planta/ Cortes</v>
          </cell>
          <cell r="E313" t="str">
            <v>6 dias</v>
          </cell>
          <cell r="F313">
            <v>38874.333333333336</v>
          </cell>
          <cell r="G313">
            <v>38936.333333333336</v>
          </cell>
          <cell r="H313" t="str">
            <v>NA</v>
          </cell>
          <cell r="I313">
            <v>38890.729166666664</v>
          </cell>
          <cell r="J313">
            <v>38945.729166666664</v>
          </cell>
          <cell r="K313" t="str">
            <v>NA</v>
          </cell>
          <cell r="L313">
            <v>0.09</v>
          </cell>
          <cell r="M313">
            <v>2</v>
          </cell>
          <cell r="N313">
            <v>0</v>
          </cell>
          <cell r="O313">
            <v>0</v>
          </cell>
          <cell r="P313">
            <v>0</v>
          </cell>
          <cell r="Q313" t="str">
            <v>39II;244II;308</v>
          </cell>
          <cell r="S313" t="str">
            <v>EQUIPE TUB</v>
          </cell>
          <cell r="T313">
            <v>38945</v>
          </cell>
        </row>
        <row r="314">
          <cell r="B314" t="str">
            <v>BH.260.MC.01</v>
          </cell>
          <cell r="D314" t="str">
            <v>Memória De Cálculo - Bombas</v>
          </cell>
          <cell r="E314" t="str">
            <v>12 dias</v>
          </cell>
          <cell r="F314">
            <v>38891.333333333336</v>
          </cell>
          <cell r="G314">
            <v>38877.333333333336</v>
          </cell>
          <cell r="H314">
            <v>38877.333333333336</v>
          </cell>
          <cell r="I314">
            <v>38898.729166666664</v>
          </cell>
          <cell r="J314">
            <v>38896.729166666664</v>
          </cell>
          <cell r="K314" t="str">
            <v>NA</v>
          </cell>
          <cell r="L314">
            <v>0.27</v>
          </cell>
          <cell r="M314">
            <v>6.25</v>
          </cell>
          <cell r="N314">
            <v>5.63</v>
          </cell>
          <cell r="O314">
            <v>90</v>
          </cell>
          <cell r="P314">
            <v>90</v>
          </cell>
          <cell r="Q314" t="str">
            <v>39II</v>
          </cell>
          <cell r="S314" t="str">
            <v>EQUIPE TUB</v>
          </cell>
          <cell r="T314">
            <v>38896</v>
          </cell>
        </row>
        <row r="315">
          <cell r="D315" t="str">
            <v>Projeto Detalhado</v>
          </cell>
          <cell r="E315" t="str">
            <v>47 dias</v>
          </cell>
          <cell r="F315">
            <v>38898.333333333336</v>
          </cell>
          <cell r="G315">
            <v>38954.333333333336</v>
          </cell>
          <cell r="H315" t="str">
            <v>NA</v>
          </cell>
          <cell r="I315">
            <v>38958.729166666664</v>
          </cell>
          <cell r="J315">
            <v>39028.729166666664</v>
          </cell>
          <cell r="K315" t="str">
            <v>NA</v>
          </cell>
          <cell r="L315">
            <v>1.75</v>
          </cell>
          <cell r="M315">
            <v>40</v>
          </cell>
          <cell r="N315">
            <v>0</v>
          </cell>
          <cell r="O315">
            <v>0</v>
          </cell>
          <cell r="P315">
            <v>0</v>
          </cell>
          <cell r="T315">
            <v>39028</v>
          </cell>
        </row>
        <row r="316">
          <cell r="D316" t="str">
            <v>Mecânica</v>
          </cell>
          <cell r="E316" t="str">
            <v>5 dias</v>
          </cell>
          <cell r="F316">
            <v>38898.333333333336</v>
          </cell>
          <cell r="G316">
            <v>38980.333333333336</v>
          </cell>
          <cell r="H316" t="str">
            <v>NA</v>
          </cell>
          <cell r="I316">
            <v>38905.729166666664</v>
          </cell>
          <cell r="J316">
            <v>38986.729166666664</v>
          </cell>
          <cell r="K316" t="str">
            <v>NA</v>
          </cell>
          <cell r="L316">
            <v>0.09</v>
          </cell>
          <cell r="M316">
            <v>2</v>
          </cell>
          <cell r="N316">
            <v>0</v>
          </cell>
          <cell r="O316">
            <v>0</v>
          </cell>
          <cell r="P316">
            <v>0</v>
          </cell>
          <cell r="T316">
            <v>38986</v>
          </cell>
        </row>
        <row r="317">
          <cell r="B317" t="str">
            <v>DB.260.DM.01</v>
          </cell>
          <cell r="D317" t="str">
            <v>Diagrama De Montagem</v>
          </cell>
          <cell r="E317" t="str">
            <v>5 dias</v>
          </cell>
          <cell r="F317">
            <v>38898.333333333336</v>
          </cell>
          <cell r="G317">
            <v>38980.333333333336</v>
          </cell>
          <cell r="H317" t="str">
            <v>NA</v>
          </cell>
          <cell r="I317">
            <v>38905.729166666664</v>
          </cell>
          <cell r="J317">
            <v>38986.729166666664</v>
          </cell>
          <cell r="K317" t="str">
            <v>NA</v>
          </cell>
          <cell r="L317">
            <v>0.09</v>
          </cell>
          <cell r="M317">
            <v>2</v>
          </cell>
          <cell r="N317">
            <v>0</v>
          </cell>
          <cell r="O317">
            <v>0</v>
          </cell>
          <cell r="P317">
            <v>0</v>
          </cell>
          <cell r="Q317" t="str">
            <v>306TI+30 dias;308</v>
          </cell>
          <cell r="R317">
            <v>322</v>
          </cell>
          <cell r="S317" t="str">
            <v>EQUIPE MEC</v>
          </cell>
          <cell r="T317">
            <v>38986</v>
          </cell>
        </row>
        <row r="318">
          <cell r="D318" t="str">
            <v>Civil</v>
          </cell>
          <cell r="E318" t="str">
            <v>8 dias</v>
          </cell>
          <cell r="F318">
            <v>38905.333333333336</v>
          </cell>
          <cell r="G318">
            <v>38954.333333333336</v>
          </cell>
          <cell r="H318" t="str">
            <v>NA</v>
          </cell>
          <cell r="I318">
            <v>38936.729166666664</v>
          </cell>
          <cell r="J318">
            <v>38965.729166666664</v>
          </cell>
          <cell r="K318" t="str">
            <v>NA</v>
          </cell>
          <cell r="L318">
            <v>0.52</v>
          </cell>
          <cell r="M318">
            <v>12</v>
          </cell>
          <cell r="N318">
            <v>0</v>
          </cell>
          <cell r="O318">
            <v>0</v>
          </cell>
          <cell r="P318">
            <v>0</v>
          </cell>
          <cell r="T318">
            <v>38965</v>
          </cell>
        </row>
        <row r="319">
          <cell r="D319" t="str">
            <v>Desenho De Detalhamento</v>
          </cell>
          <cell r="E319" t="str">
            <v>8 dias</v>
          </cell>
          <cell r="F319">
            <v>38905.333333333336</v>
          </cell>
          <cell r="G319">
            <v>38954.333333333336</v>
          </cell>
          <cell r="H319" t="str">
            <v>NA</v>
          </cell>
          <cell r="I319">
            <v>38936.729166666664</v>
          </cell>
          <cell r="J319">
            <v>38965.729166666664</v>
          </cell>
          <cell r="K319" t="str">
            <v>NA</v>
          </cell>
          <cell r="L319">
            <v>0.52</v>
          </cell>
          <cell r="M319">
            <v>12</v>
          </cell>
          <cell r="N319">
            <v>0</v>
          </cell>
          <cell r="O319">
            <v>0</v>
          </cell>
          <cell r="P319">
            <v>0</v>
          </cell>
          <cell r="R319">
            <v>327</v>
          </cell>
          <cell r="T319">
            <v>38965</v>
          </cell>
        </row>
        <row r="320">
          <cell r="B320" t="str">
            <v>DC.260.DD.01</v>
          </cell>
          <cell r="D320" t="str">
            <v>Ciclone - Fundação e Formas</v>
          </cell>
          <cell r="E320" t="str">
            <v>7 dias</v>
          </cell>
          <cell r="F320">
            <v>38905.333333333336</v>
          </cell>
          <cell r="G320">
            <v>38957.333333333336</v>
          </cell>
          <cell r="H320" t="str">
            <v>NA</v>
          </cell>
          <cell r="I320">
            <v>38915.729166666664</v>
          </cell>
          <cell r="J320">
            <v>38965.729166666664</v>
          </cell>
          <cell r="K320" t="str">
            <v>NA</v>
          </cell>
          <cell r="L320">
            <v>0.17</v>
          </cell>
          <cell r="M320">
            <v>4</v>
          </cell>
          <cell r="N320">
            <v>0</v>
          </cell>
          <cell r="O320">
            <v>0</v>
          </cell>
          <cell r="P320">
            <v>0</v>
          </cell>
          <cell r="Q320" t="str">
            <v>306TI+15 dias;308</v>
          </cell>
          <cell r="R320" t="str">
            <v>319TT;320TT;374TT</v>
          </cell>
          <cell r="S320" t="str">
            <v>EQUIPE CIV</v>
          </cell>
          <cell r="T320">
            <v>38965</v>
          </cell>
        </row>
        <row r="321">
          <cell r="B321" t="str">
            <v>DC.260.DD.02</v>
          </cell>
          <cell r="D321" t="str">
            <v>Espessador - Armação</v>
          </cell>
          <cell r="E321" t="str">
            <v>6 dias</v>
          </cell>
          <cell r="F321">
            <v>38916.333333333336</v>
          </cell>
          <cell r="G321">
            <v>38958.333333333336</v>
          </cell>
          <cell r="H321" t="str">
            <v>NA</v>
          </cell>
          <cell r="I321">
            <v>38923.729166666664</v>
          </cell>
          <cell r="J321">
            <v>38965.729166666664</v>
          </cell>
          <cell r="K321" t="str">
            <v>NA</v>
          </cell>
          <cell r="L321">
            <v>0.13</v>
          </cell>
          <cell r="M321">
            <v>3</v>
          </cell>
          <cell r="N321">
            <v>0</v>
          </cell>
          <cell r="O321">
            <v>0</v>
          </cell>
          <cell r="P321">
            <v>0</v>
          </cell>
          <cell r="Q321" t="str">
            <v>318TT</v>
          </cell>
          <cell r="S321" t="str">
            <v>EQUIPE CIV</v>
          </cell>
          <cell r="T321">
            <v>38965</v>
          </cell>
        </row>
        <row r="322">
          <cell r="B322" t="str">
            <v>DC.260.DD.03</v>
          </cell>
          <cell r="D322" t="str">
            <v>Elevação - Fundação, Forma e Armação</v>
          </cell>
          <cell r="E322" t="str">
            <v>8 dias</v>
          </cell>
          <cell r="F322">
            <v>38924.333333333336</v>
          </cell>
          <cell r="G322">
            <v>38954.333333333336</v>
          </cell>
          <cell r="H322" t="str">
            <v>NA</v>
          </cell>
          <cell r="I322">
            <v>38936.729166666664</v>
          </cell>
          <cell r="J322">
            <v>38965.729166666664</v>
          </cell>
          <cell r="K322" t="str">
            <v>NA</v>
          </cell>
          <cell r="L322">
            <v>0.22</v>
          </cell>
          <cell r="M322">
            <v>5</v>
          </cell>
          <cell r="N322">
            <v>0</v>
          </cell>
          <cell r="O322">
            <v>0</v>
          </cell>
          <cell r="P322">
            <v>0</v>
          </cell>
          <cell r="Q322" t="str">
            <v>318TT</v>
          </cell>
          <cell r="S322" t="str">
            <v>EQUIPE CIV</v>
          </cell>
          <cell r="T322">
            <v>38965</v>
          </cell>
        </row>
        <row r="323">
          <cell r="D323" t="str">
            <v>Estrutura Metálica</v>
          </cell>
          <cell r="E323" t="str">
            <v>11 dias</v>
          </cell>
          <cell r="F323">
            <v>38905.333333333336</v>
          </cell>
          <cell r="G323">
            <v>38987.333333333336</v>
          </cell>
          <cell r="H323" t="str">
            <v>NA</v>
          </cell>
          <cell r="I323">
            <v>38932.729166666664</v>
          </cell>
          <cell r="J323">
            <v>39001.729166666664</v>
          </cell>
          <cell r="K323" t="str">
            <v>NA</v>
          </cell>
          <cell r="L323">
            <v>0.72</v>
          </cell>
          <cell r="M323">
            <v>16.5</v>
          </cell>
          <cell r="N323">
            <v>0</v>
          </cell>
          <cell r="O323">
            <v>0</v>
          </cell>
          <cell r="P323">
            <v>0</v>
          </cell>
          <cell r="T323">
            <v>39001</v>
          </cell>
        </row>
        <row r="324">
          <cell r="B324" t="str">
            <v>DD.260.DP.01</v>
          </cell>
          <cell r="D324" t="str">
            <v>Desenho De Projeto</v>
          </cell>
          <cell r="E324" t="str">
            <v>7 dias</v>
          </cell>
          <cell r="F324">
            <v>38905.333333333336</v>
          </cell>
          <cell r="G324">
            <v>38987.333333333336</v>
          </cell>
          <cell r="H324" t="str">
            <v>NA</v>
          </cell>
          <cell r="I324">
            <v>38915.729166666664</v>
          </cell>
          <cell r="J324">
            <v>38995.729166666664</v>
          </cell>
          <cell r="K324" t="str">
            <v>NA</v>
          </cell>
          <cell r="L324">
            <v>0.22</v>
          </cell>
          <cell r="M324">
            <v>5</v>
          </cell>
          <cell r="N324">
            <v>0</v>
          </cell>
          <cell r="O324">
            <v>0</v>
          </cell>
          <cell r="P324">
            <v>0</v>
          </cell>
          <cell r="Q324">
            <v>315</v>
          </cell>
          <cell r="R324" t="str">
            <v>323;324II</v>
          </cell>
          <cell r="S324" t="str">
            <v>EQUIPE MET</v>
          </cell>
          <cell r="T324">
            <v>38995</v>
          </cell>
        </row>
        <row r="325">
          <cell r="B325" t="str">
            <v>DD.260.LM.01</v>
          </cell>
          <cell r="D325" t="str">
            <v>Lista De Materiais</v>
          </cell>
          <cell r="E325" t="str">
            <v>1 dia</v>
          </cell>
          <cell r="F325">
            <v>38916.333333333336</v>
          </cell>
          <cell r="G325">
            <v>38996.333333333336</v>
          </cell>
          <cell r="H325" t="str">
            <v>NA</v>
          </cell>
          <cell r="I325">
            <v>38916.729166666664</v>
          </cell>
          <cell r="J325">
            <v>38996.729166666664</v>
          </cell>
          <cell r="K325" t="str">
            <v>NA</v>
          </cell>
          <cell r="L325">
            <v>0.01</v>
          </cell>
          <cell r="M325">
            <v>0.25</v>
          </cell>
          <cell r="N325">
            <v>0</v>
          </cell>
          <cell r="O325">
            <v>0</v>
          </cell>
          <cell r="P325">
            <v>0</v>
          </cell>
          <cell r="Q325">
            <v>322</v>
          </cell>
          <cell r="S325" t="str">
            <v>EQUIPE MET</v>
          </cell>
          <cell r="T325">
            <v>38996</v>
          </cell>
        </row>
        <row r="326">
          <cell r="B326" t="str">
            <v>DD.260.MC.01</v>
          </cell>
          <cell r="D326" t="str">
            <v>Memória De Cálculo</v>
          </cell>
          <cell r="E326" t="str">
            <v>11 dias</v>
          </cell>
          <cell r="F326">
            <v>38917.333333333336</v>
          </cell>
          <cell r="G326">
            <v>38987.333333333336</v>
          </cell>
          <cell r="H326" t="str">
            <v>NA</v>
          </cell>
          <cell r="I326">
            <v>38932.729166666664</v>
          </cell>
          <cell r="J326">
            <v>39001.729166666664</v>
          </cell>
          <cell r="K326" t="str">
            <v>NA</v>
          </cell>
          <cell r="L326">
            <v>0.49</v>
          </cell>
          <cell r="M326">
            <v>11.25</v>
          </cell>
          <cell r="N326">
            <v>0</v>
          </cell>
          <cell r="O326">
            <v>0</v>
          </cell>
          <cell r="P326">
            <v>0</v>
          </cell>
          <cell r="Q326" t="str">
            <v>322II</v>
          </cell>
          <cell r="S326" t="str">
            <v>EQUIPE MET</v>
          </cell>
          <cell r="T326">
            <v>39001</v>
          </cell>
        </row>
        <row r="327">
          <cell r="D327" t="str">
            <v>Elétrica</v>
          </cell>
          <cell r="E327" t="str">
            <v>21 dias</v>
          </cell>
          <cell r="F327">
            <v>38936.333333333336</v>
          </cell>
          <cell r="G327">
            <v>38966.333333333336</v>
          </cell>
          <cell r="H327" t="str">
            <v>NA</v>
          </cell>
          <cell r="I327">
            <v>38958.729166666664</v>
          </cell>
          <cell r="J327">
            <v>38996.729166666664</v>
          </cell>
          <cell r="K327" t="str">
            <v>NA</v>
          </cell>
          <cell r="L327">
            <v>0.37</v>
          </cell>
          <cell r="M327">
            <v>8.5</v>
          </cell>
          <cell r="N327">
            <v>0</v>
          </cell>
          <cell r="O327">
            <v>0</v>
          </cell>
          <cell r="P327">
            <v>0</v>
          </cell>
          <cell r="T327">
            <v>38996</v>
          </cell>
        </row>
        <row r="328">
          <cell r="D328" t="str">
            <v>Desenho De Detalhamento</v>
          </cell>
          <cell r="E328" t="str">
            <v>17 dias</v>
          </cell>
          <cell r="F328">
            <v>38936.333333333336</v>
          </cell>
          <cell r="G328">
            <v>38966.333333333336</v>
          </cell>
          <cell r="H328" t="str">
            <v>NA</v>
          </cell>
          <cell r="I328">
            <v>38951.729166666664</v>
          </cell>
          <cell r="J328">
            <v>38992.729166666664</v>
          </cell>
          <cell r="K328" t="str">
            <v>NA</v>
          </cell>
          <cell r="L328">
            <v>0.31</v>
          </cell>
          <cell r="M328">
            <v>7</v>
          </cell>
          <cell r="N328">
            <v>0</v>
          </cell>
          <cell r="O328">
            <v>0</v>
          </cell>
          <cell r="P328">
            <v>0</v>
          </cell>
          <cell r="R328">
            <v>329</v>
          </cell>
          <cell r="T328">
            <v>38992</v>
          </cell>
        </row>
        <row r="329">
          <cell r="B329" t="str">
            <v>DE.260.DD.01</v>
          </cell>
          <cell r="D329" t="str">
            <v>Disposição De Força, Controle e Aterramento</v>
          </cell>
          <cell r="E329" t="str">
            <v>9 dias</v>
          </cell>
          <cell r="F329">
            <v>38936.333333333336</v>
          </cell>
          <cell r="G329">
            <v>38966.333333333336</v>
          </cell>
          <cell r="H329" t="str">
            <v>NA</v>
          </cell>
          <cell r="I329">
            <v>38951.729166666664</v>
          </cell>
          <cell r="J329">
            <v>38980.729166666664</v>
          </cell>
          <cell r="K329" t="str">
            <v>NA</v>
          </cell>
          <cell r="L329">
            <v>0.17</v>
          </cell>
          <cell r="M329">
            <v>4</v>
          </cell>
          <cell r="N329">
            <v>0</v>
          </cell>
          <cell r="O329">
            <v>0</v>
          </cell>
          <cell r="P329">
            <v>0</v>
          </cell>
          <cell r="Q329">
            <v>317</v>
          </cell>
          <cell r="R329">
            <v>328</v>
          </cell>
          <cell r="S329" t="str">
            <v>EQUIPE ELE</v>
          </cell>
          <cell r="T329">
            <v>38980</v>
          </cell>
        </row>
        <row r="330">
          <cell r="B330" t="str">
            <v>DE.260.DD.02</v>
          </cell>
          <cell r="D330" t="str">
            <v>Iluminação</v>
          </cell>
          <cell r="E330" t="str">
            <v>8 dias</v>
          </cell>
          <cell r="F330">
            <v>38936.333333333336</v>
          </cell>
          <cell r="G330">
            <v>38981.333333333336</v>
          </cell>
          <cell r="H330" t="str">
            <v>NA</v>
          </cell>
          <cell r="I330">
            <v>38950.729166666664</v>
          </cell>
          <cell r="J330">
            <v>38992.729166666664</v>
          </cell>
          <cell r="K330" t="str">
            <v>NA</v>
          </cell>
          <cell r="L330">
            <v>0.13</v>
          </cell>
          <cell r="M330">
            <v>3</v>
          </cell>
          <cell r="N330">
            <v>0</v>
          </cell>
          <cell r="O330">
            <v>0</v>
          </cell>
          <cell r="P330">
            <v>0</v>
          </cell>
          <cell r="Q330">
            <v>327</v>
          </cell>
          <cell r="S330" t="str">
            <v>EQUIPE ELE</v>
          </cell>
          <cell r="T330">
            <v>38992</v>
          </cell>
        </row>
        <row r="331">
          <cell r="B331" t="str">
            <v>DE.260.LC.01</v>
          </cell>
          <cell r="D331" t="str">
            <v>Lista De Linhas/ Cabos</v>
          </cell>
          <cell r="E331" t="str">
            <v>4 dias</v>
          </cell>
          <cell r="F331">
            <v>38952.333333333336</v>
          </cell>
          <cell r="G331">
            <v>38993.333333333336</v>
          </cell>
          <cell r="H331" t="str">
            <v>NA</v>
          </cell>
          <cell r="I331">
            <v>38958.729166666664</v>
          </cell>
          <cell r="J331">
            <v>38996.729166666664</v>
          </cell>
          <cell r="K331" t="str">
            <v>NA</v>
          </cell>
          <cell r="L331">
            <v>7.0000000000000007E-2</v>
          </cell>
          <cell r="M331">
            <v>1.5</v>
          </cell>
          <cell r="N331">
            <v>0</v>
          </cell>
          <cell r="O331">
            <v>0</v>
          </cell>
          <cell r="P331">
            <v>0</v>
          </cell>
          <cell r="Q331">
            <v>326</v>
          </cell>
          <cell r="S331" t="str">
            <v>EQUIPE ELE</v>
          </cell>
          <cell r="T331">
            <v>38996</v>
          </cell>
        </row>
        <row r="332">
          <cell r="D332" t="str">
            <v>Instrumentação</v>
          </cell>
          <cell r="E332" t="str">
            <v>5 dias</v>
          </cell>
          <cell r="F332">
            <v>38951.333333333336</v>
          </cell>
          <cell r="G332">
            <v>39020.333333333336</v>
          </cell>
          <cell r="H332" t="str">
            <v>NA</v>
          </cell>
          <cell r="I332">
            <v>38958.729166666664</v>
          </cell>
          <cell r="J332">
            <v>39028.729166666664</v>
          </cell>
          <cell r="K332" t="str">
            <v>NA</v>
          </cell>
          <cell r="L332">
            <v>0.04</v>
          </cell>
          <cell r="M332">
            <v>1</v>
          </cell>
          <cell r="N332">
            <v>0</v>
          </cell>
          <cell r="O332">
            <v>0</v>
          </cell>
          <cell r="P332">
            <v>0</v>
          </cell>
          <cell r="T332">
            <v>39028</v>
          </cell>
        </row>
        <row r="333">
          <cell r="B333" t="str">
            <v>DT.260.AJ.01</v>
          </cell>
          <cell r="D333" t="str">
            <v>Arranjos/ Layout’s/ Plano Diretor - Locação De Instrumentos</v>
          </cell>
          <cell r="E333" t="str">
            <v>5 dias</v>
          </cell>
          <cell r="F333">
            <v>38951.333333333336</v>
          </cell>
          <cell r="G333">
            <v>39020.333333333336</v>
          </cell>
          <cell r="H333" t="str">
            <v>NA</v>
          </cell>
          <cell r="I333">
            <v>38958.729166666664</v>
          </cell>
          <cell r="J333">
            <v>39028.729166666664</v>
          </cell>
          <cell r="K333" t="str">
            <v>NA</v>
          </cell>
          <cell r="L333">
            <v>0.04</v>
          </cell>
          <cell r="M333">
            <v>1</v>
          </cell>
          <cell r="N333">
            <v>0</v>
          </cell>
          <cell r="O333">
            <v>0</v>
          </cell>
          <cell r="P333">
            <v>0</v>
          </cell>
          <cell r="Q333">
            <v>134</v>
          </cell>
          <cell r="S333" t="str">
            <v>EQUIPE TSA</v>
          </cell>
          <cell r="T333">
            <v>39028</v>
          </cell>
        </row>
        <row r="334">
          <cell r="B334" t="str">
            <v>1.1.11</v>
          </cell>
          <cell r="C334" t="str">
            <v>265A</v>
          </cell>
          <cell r="D334" t="str">
            <v>Flotação (2B)</v>
          </cell>
          <cell r="E334" t="str">
            <v>142 dias</v>
          </cell>
          <cell r="F334">
            <v>38807.333333333336</v>
          </cell>
          <cell r="G334">
            <v>38807.333333333336</v>
          </cell>
          <cell r="H334">
            <v>38807.333333333336</v>
          </cell>
          <cell r="I334">
            <v>38958.729166666664</v>
          </cell>
          <cell r="J334">
            <v>39022.729166666664</v>
          </cell>
          <cell r="K334" t="str">
            <v>NA</v>
          </cell>
          <cell r="L334">
            <v>5.29</v>
          </cell>
          <cell r="M334">
            <v>121.13</v>
          </cell>
          <cell r="N334">
            <v>19.28</v>
          </cell>
          <cell r="O334">
            <v>15.91</v>
          </cell>
          <cell r="P334">
            <v>15.91</v>
          </cell>
          <cell r="T334">
            <v>39022</v>
          </cell>
        </row>
        <row r="335">
          <cell r="D335" t="str">
            <v>Projeto Básico</v>
          </cell>
          <cell r="E335" t="str">
            <v>99 dias</v>
          </cell>
          <cell r="F335">
            <v>38807.333333333336</v>
          </cell>
          <cell r="G335">
            <v>38807.333333333336</v>
          </cell>
          <cell r="H335">
            <v>38807.333333333336</v>
          </cell>
          <cell r="I335">
            <v>38869.729166666664</v>
          </cell>
          <cell r="J335">
            <v>38957.729166666664</v>
          </cell>
          <cell r="K335" t="str">
            <v>NA</v>
          </cell>
          <cell r="L335">
            <v>1.75</v>
          </cell>
          <cell r="M335">
            <v>40.130000000000003</v>
          </cell>
          <cell r="N335">
            <v>19.28</v>
          </cell>
          <cell r="O335">
            <v>48.04</v>
          </cell>
          <cell r="P335">
            <v>48.04</v>
          </cell>
          <cell r="T335">
            <v>38957</v>
          </cell>
        </row>
        <row r="336">
          <cell r="D336" t="str">
            <v>Processo</v>
          </cell>
          <cell r="E336" t="str">
            <v>2 dias</v>
          </cell>
          <cell r="F336">
            <v>38807.333333333336</v>
          </cell>
          <cell r="G336">
            <v>38939.333333333336</v>
          </cell>
          <cell r="H336">
            <v>38939.333333333336</v>
          </cell>
          <cell r="I336">
            <v>38810.729166666664</v>
          </cell>
          <cell r="J336">
            <v>38940.729166666664</v>
          </cell>
          <cell r="K336" t="str">
            <v>NA</v>
          </cell>
          <cell r="L336">
            <v>7.0000000000000007E-2</v>
          </cell>
          <cell r="M336">
            <v>1.5</v>
          </cell>
          <cell r="N336">
            <v>0.45</v>
          </cell>
          <cell r="O336">
            <v>30</v>
          </cell>
          <cell r="P336">
            <v>30</v>
          </cell>
          <cell r="T336">
            <v>38940</v>
          </cell>
        </row>
        <row r="337">
          <cell r="B337" t="str">
            <v>BP.265.FD.01</v>
          </cell>
          <cell r="D337" t="str">
            <v>Folha De Dados - Agitador e Células de Flotação</v>
          </cell>
          <cell r="E337" t="str">
            <v>2 dias</v>
          </cell>
          <cell r="F337">
            <v>38807.333333333336</v>
          </cell>
          <cell r="G337">
            <v>38939.333333333336</v>
          </cell>
          <cell r="H337">
            <v>38939.333333333336</v>
          </cell>
          <cell r="I337">
            <v>38810.729166666664</v>
          </cell>
          <cell r="J337">
            <v>38940.729166666664</v>
          </cell>
          <cell r="K337" t="str">
            <v>NA</v>
          </cell>
          <cell r="L337">
            <v>7.0000000000000007E-2</v>
          </cell>
          <cell r="M337">
            <v>1.5</v>
          </cell>
          <cell r="N337">
            <v>0.45</v>
          </cell>
          <cell r="O337">
            <v>30</v>
          </cell>
          <cell r="P337">
            <v>30</v>
          </cell>
          <cell r="Q337" t="str">
            <v>14II</v>
          </cell>
          <cell r="S337" t="str">
            <v>EQUIPE PRO</v>
          </cell>
          <cell r="T337">
            <v>38940</v>
          </cell>
        </row>
        <row r="338">
          <cell r="D338" t="str">
            <v>Mecânica</v>
          </cell>
          <cell r="E338" t="str">
            <v>90 dias</v>
          </cell>
          <cell r="F338">
            <v>38827.375</v>
          </cell>
          <cell r="G338">
            <v>38807.333333333336</v>
          </cell>
          <cell r="H338">
            <v>38807.333333333336</v>
          </cell>
          <cell r="I338">
            <v>38867.729166666664</v>
          </cell>
          <cell r="J338">
            <v>38940.729166666664</v>
          </cell>
          <cell r="K338" t="str">
            <v>NA</v>
          </cell>
          <cell r="L338">
            <v>0.73</v>
          </cell>
          <cell r="M338">
            <v>16.75</v>
          </cell>
          <cell r="N338">
            <v>12.53</v>
          </cell>
          <cell r="O338">
            <v>74.78</v>
          </cell>
          <cell r="P338">
            <v>74.78</v>
          </cell>
          <cell r="T338">
            <v>38940</v>
          </cell>
        </row>
        <row r="339">
          <cell r="B339" t="str">
            <v>BB.265.DB.01</v>
          </cell>
          <cell r="D339" t="str">
            <v>Desenho Básico - Planta e Cortes (Reagentes)</v>
          </cell>
          <cell r="E339" t="str">
            <v>27 dias</v>
          </cell>
          <cell r="F339">
            <v>38827.333333333336</v>
          </cell>
          <cell r="G339">
            <v>38807.333333333336</v>
          </cell>
          <cell r="H339">
            <v>38807.333333333336</v>
          </cell>
          <cell r="I339">
            <v>38845.729166666664</v>
          </cell>
          <cell r="J339">
            <v>38849.729166666664</v>
          </cell>
          <cell r="K339" t="str">
            <v>NA</v>
          </cell>
          <cell r="L339">
            <v>0.54</v>
          </cell>
          <cell r="M339">
            <v>12.25</v>
          </cell>
          <cell r="N339">
            <v>11.03</v>
          </cell>
          <cell r="O339">
            <v>90</v>
          </cell>
          <cell r="P339">
            <v>90</v>
          </cell>
          <cell r="Q339" t="str">
            <v>14II</v>
          </cell>
          <cell r="R339" t="str">
            <v>344;341;347;354;384</v>
          </cell>
          <cell r="S339" t="str">
            <v>EQUIPE MEC</v>
          </cell>
          <cell r="T339">
            <v>38849</v>
          </cell>
        </row>
        <row r="340">
          <cell r="B340" t="str">
            <v>BB.265.DB.02</v>
          </cell>
          <cell r="D340" t="str">
            <v>Desenho Básico - Caixa de Polpa</v>
          </cell>
          <cell r="E340" t="str">
            <v>5 dias</v>
          </cell>
          <cell r="F340">
            <v>38846.333333333336</v>
          </cell>
          <cell r="G340">
            <v>38936.333333333336</v>
          </cell>
          <cell r="H340" t="str">
            <v>NA</v>
          </cell>
          <cell r="I340">
            <v>38853.729166666664</v>
          </cell>
          <cell r="J340">
            <v>38940.729166666664</v>
          </cell>
          <cell r="K340" t="str">
            <v>NA</v>
          </cell>
          <cell r="L340">
            <v>7.0000000000000007E-2</v>
          </cell>
          <cell r="M340">
            <v>1.5</v>
          </cell>
          <cell r="N340">
            <v>0</v>
          </cell>
          <cell r="O340">
            <v>0</v>
          </cell>
          <cell r="P340">
            <v>0</v>
          </cell>
          <cell r="Q340">
            <v>240</v>
          </cell>
          <cell r="R340" t="str">
            <v>339TT;347</v>
          </cell>
          <cell r="S340" t="str">
            <v>EQUIPE MEC</v>
          </cell>
          <cell r="T340">
            <v>38940</v>
          </cell>
        </row>
        <row r="341">
          <cell r="B341" t="str">
            <v>BB.265.ET.01</v>
          </cell>
          <cell r="D341" t="str">
            <v>Espec. Téc. - Transportador De Parafuso (Reagentes)</v>
          </cell>
          <cell r="E341" t="str">
            <v>15 dias</v>
          </cell>
          <cell r="F341">
            <v>38846.333333333336</v>
          </cell>
          <cell r="G341">
            <v>38922.333333333336</v>
          </cell>
          <cell r="H341">
            <v>38922.333333333336</v>
          </cell>
          <cell r="I341">
            <v>38867.729166666664</v>
          </cell>
          <cell r="J341">
            <v>38940.729166666664</v>
          </cell>
          <cell r="K341" t="str">
            <v>NA</v>
          </cell>
          <cell r="L341">
            <v>0.13</v>
          </cell>
          <cell r="M341">
            <v>3</v>
          </cell>
          <cell r="N341">
            <v>1.5</v>
          </cell>
          <cell r="O341">
            <v>50</v>
          </cell>
          <cell r="P341">
            <v>50</v>
          </cell>
          <cell r="Q341" t="str">
            <v>338TT</v>
          </cell>
          <cell r="S341" t="str">
            <v>EQUIPE MEC</v>
          </cell>
          <cell r="T341">
            <v>38940</v>
          </cell>
        </row>
        <row r="342">
          <cell r="D342" t="str">
            <v>Tubulação</v>
          </cell>
          <cell r="E342" t="str">
            <v>55 dias</v>
          </cell>
          <cell r="F342">
            <v>38846.333333333336</v>
          </cell>
          <cell r="G342">
            <v>38875.333333333336</v>
          </cell>
          <cell r="H342">
            <v>38875.333333333336</v>
          </cell>
          <cell r="I342">
            <v>38869.729166666664</v>
          </cell>
          <cell r="J342">
            <v>38957.729166666664</v>
          </cell>
          <cell r="K342" t="str">
            <v>NA</v>
          </cell>
          <cell r="L342">
            <v>0.66</v>
          </cell>
          <cell r="M342">
            <v>15</v>
          </cell>
          <cell r="N342">
            <v>6.3</v>
          </cell>
          <cell r="O342">
            <v>42</v>
          </cell>
          <cell r="P342">
            <v>42</v>
          </cell>
          <cell r="T342">
            <v>38957</v>
          </cell>
        </row>
        <row r="343">
          <cell r="B343" t="str">
            <v>BH.265.DB.01</v>
          </cell>
          <cell r="D343" t="str">
            <v>Des. Básico - Ciclonagem/ Flotação/ Amino, Amido e Soda</v>
          </cell>
          <cell r="E343" t="str">
            <v>10 dias</v>
          </cell>
          <cell r="F343">
            <v>38846.333333333336</v>
          </cell>
          <cell r="G343">
            <v>38940.333333333336</v>
          </cell>
          <cell r="H343" t="str">
            <v>NA</v>
          </cell>
          <cell r="I343">
            <v>38861.729166666664</v>
          </cell>
          <cell r="J343">
            <v>38957.729166666664</v>
          </cell>
          <cell r="K343" t="str">
            <v>NA</v>
          </cell>
          <cell r="L343">
            <v>0.35</v>
          </cell>
          <cell r="M343">
            <v>8</v>
          </cell>
          <cell r="N343">
            <v>0</v>
          </cell>
          <cell r="O343">
            <v>0</v>
          </cell>
          <cell r="P343">
            <v>0</v>
          </cell>
          <cell r="Q343" t="str">
            <v>14;39II;337</v>
          </cell>
          <cell r="R343">
            <v>349</v>
          </cell>
          <cell r="S343" t="str">
            <v>EQUIPE TUB</v>
          </cell>
          <cell r="T343">
            <v>38957</v>
          </cell>
        </row>
        <row r="344">
          <cell r="B344" t="str">
            <v>BH.265.MC.01</v>
          </cell>
          <cell r="D344" t="str">
            <v>Memória De Cálculo - Bombas</v>
          </cell>
          <cell r="E344" t="str">
            <v>14 dias</v>
          </cell>
          <cell r="F344">
            <v>38862.333333333336</v>
          </cell>
          <cell r="G344">
            <v>38875.333333333336</v>
          </cell>
          <cell r="H344">
            <v>38875.333333333336</v>
          </cell>
          <cell r="I344">
            <v>38869.729166666664</v>
          </cell>
          <cell r="J344">
            <v>38896.729166666664</v>
          </cell>
          <cell r="K344" t="str">
            <v>NA</v>
          </cell>
          <cell r="L344">
            <v>0.31</v>
          </cell>
          <cell r="M344">
            <v>7</v>
          </cell>
          <cell r="N344">
            <v>6.3</v>
          </cell>
          <cell r="O344">
            <v>90</v>
          </cell>
          <cell r="P344">
            <v>90</v>
          </cell>
          <cell r="Q344" t="str">
            <v>39II</v>
          </cell>
          <cell r="S344" t="str">
            <v>EQUIPE TUB</v>
          </cell>
          <cell r="T344">
            <v>38896</v>
          </cell>
        </row>
        <row r="345">
          <cell r="D345" t="str">
            <v>Estrutura Metálica</v>
          </cell>
          <cell r="E345" t="str">
            <v>6 dias</v>
          </cell>
          <cell r="F345">
            <v>38846.333333333336</v>
          </cell>
          <cell r="G345">
            <v>38937.333333333336</v>
          </cell>
          <cell r="H345">
            <v>38937.333333333336</v>
          </cell>
          <cell r="I345">
            <v>38859.375</v>
          </cell>
          <cell r="J345">
            <v>38946.729166666664</v>
          </cell>
          <cell r="K345" t="str">
            <v>NA</v>
          </cell>
          <cell r="L345">
            <v>0.3</v>
          </cell>
          <cell r="M345">
            <v>6.88</v>
          </cell>
          <cell r="N345">
            <v>0</v>
          </cell>
          <cell r="O345">
            <v>0</v>
          </cell>
          <cell r="P345">
            <v>0</v>
          </cell>
          <cell r="T345">
            <v>38946</v>
          </cell>
        </row>
        <row r="346">
          <cell r="B346" t="str">
            <v>BD.265.MC.01</v>
          </cell>
          <cell r="D346" t="str">
            <v>Memória De Cálculo</v>
          </cell>
          <cell r="E346" t="str">
            <v>6 dias</v>
          </cell>
          <cell r="F346">
            <v>38846.333333333336</v>
          </cell>
          <cell r="G346">
            <v>38937.333333333336</v>
          </cell>
          <cell r="H346">
            <v>38937.333333333336</v>
          </cell>
          <cell r="I346">
            <v>38856.375</v>
          </cell>
          <cell r="J346">
            <v>38946.729166666664</v>
          </cell>
          <cell r="K346" t="str">
            <v>NA</v>
          </cell>
          <cell r="L346">
            <v>0.3</v>
          </cell>
          <cell r="M346">
            <v>6.88</v>
          </cell>
          <cell r="N346">
            <v>0</v>
          </cell>
          <cell r="O346">
            <v>0</v>
          </cell>
          <cell r="P346">
            <v>0</v>
          </cell>
          <cell r="Q346">
            <v>337</v>
          </cell>
          <cell r="R346" t="str">
            <v>354II</v>
          </cell>
          <cell r="S346" t="str">
            <v>EQUIPE MET</v>
          </cell>
          <cell r="T346">
            <v>38946</v>
          </cell>
        </row>
        <row r="347">
          <cell r="D347" t="str">
            <v>Projeto Detalhado</v>
          </cell>
          <cell r="E347" t="str">
            <v>56 dias</v>
          </cell>
          <cell r="F347">
            <v>38881.333333333336</v>
          </cell>
          <cell r="G347">
            <v>38937.333333333336</v>
          </cell>
          <cell r="H347" t="str">
            <v>NA</v>
          </cell>
          <cell r="I347">
            <v>38958.729166666664</v>
          </cell>
          <cell r="J347">
            <v>39022.729166666664</v>
          </cell>
          <cell r="K347" t="str">
            <v>NA</v>
          </cell>
          <cell r="L347">
            <v>3.54</v>
          </cell>
          <cell r="M347">
            <v>81</v>
          </cell>
          <cell r="N347">
            <v>0</v>
          </cell>
          <cell r="O347">
            <v>0</v>
          </cell>
          <cell r="P347">
            <v>0</v>
          </cell>
          <cell r="T347">
            <v>39022</v>
          </cell>
        </row>
        <row r="348">
          <cell r="D348" t="str">
            <v>Mecânica</v>
          </cell>
          <cell r="E348" t="str">
            <v>6 dias</v>
          </cell>
          <cell r="F348">
            <v>38881.375</v>
          </cell>
          <cell r="G348">
            <v>38952.333333333336</v>
          </cell>
          <cell r="H348" t="str">
            <v>NA</v>
          </cell>
          <cell r="I348">
            <v>38922.729166666664</v>
          </cell>
          <cell r="J348">
            <v>38959.729166666664</v>
          </cell>
          <cell r="K348" t="str">
            <v>NA</v>
          </cell>
          <cell r="L348">
            <v>0.13</v>
          </cell>
          <cell r="M348">
            <v>3</v>
          </cell>
          <cell r="N348">
            <v>0</v>
          </cell>
          <cell r="O348">
            <v>0</v>
          </cell>
          <cell r="P348">
            <v>0</v>
          </cell>
          <cell r="T348">
            <v>38959</v>
          </cell>
        </row>
        <row r="349">
          <cell r="B349" t="str">
            <v>DB.265.DD.02</v>
          </cell>
          <cell r="D349" t="str">
            <v>Desenho De Detalhamento - Caldeiraria</v>
          </cell>
          <cell r="E349" t="str">
            <v>6 dias</v>
          </cell>
          <cell r="F349">
            <v>38881.333333333336</v>
          </cell>
          <cell r="G349">
            <v>38952.333333333336</v>
          </cell>
          <cell r="H349" t="str">
            <v>NA</v>
          </cell>
          <cell r="I349">
            <v>38922.729166666664</v>
          </cell>
          <cell r="J349">
            <v>38959.729166666664</v>
          </cell>
          <cell r="K349" t="str">
            <v>NA</v>
          </cell>
          <cell r="L349">
            <v>0.13</v>
          </cell>
          <cell r="M349">
            <v>3</v>
          </cell>
          <cell r="N349">
            <v>0</v>
          </cell>
          <cell r="O349">
            <v>0</v>
          </cell>
          <cell r="P349">
            <v>0</v>
          </cell>
          <cell r="Q349" t="str">
            <v>30TI+10 dias;337;338</v>
          </cell>
          <cell r="S349" t="str">
            <v>EQUIPE MEC</v>
          </cell>
          <cell r="T349">
            <v>38959</v>
          </cell>
        </row>
        <row r="350">
          <cell r="D350" t="str">
            <v>Tubulação</v>
          </cell>
          <cell r="E350" t="str">
            <v>40 dias</v>
          </cell>
          <cell r="F350">
            <v>38881.375</v>
          </cell>
          <cell r="G350">
            <v>38958.333333333336</v>
          </cell>
          <cell r="H350" t="str">
            <v>NA</v>
          </cell>
          <cell r="I350">
            <v>38953.604166666664</v>
          </cell>
          <cell r="J350">
            <v>39017.729166666664</v>
          </cell>
          <cell r="K350" t="str">
            <v>NA</v>
          </cell>
          <cell r="L350">
            <v>2.23</v>
          </cell>
          <cell r="M350">
            <v>51</v>
          </cell>
          <cell r="N350">
            <v>0</v>
          </cell>
          <cell r="O350">
            <v>0</v>
          </cell>
          <cell r="P350">
            <v>0</v>
          </cell>
          <cell r="T350">
            <v>39017</v>
          </cell>
        </row>
        <row r="351">
          <cell r="B351" t="str">
            <v>DH.265.DD.01</v>
          </cell>
          <cell r="D351" t="str">
            <v>Desenho De Detalhamento - Planta de Tubulação</v>
          </cell>
          <cell r="E351" t="str">
            <v>30 dias</v>
          </cell>
          <cell r="F351">
            <v>38881.375</v>
          </cell>
          <cell r="G351">
            <v>38958.333333333336</v>
          </cell>
          <cell r="H351" t="str">
            <v>NA</v>
          </cell>
          <cell r="I351">
            <v>38924.604166666664</v>
          </cell>
          <cell r="J351">
            <v>39001.729166666664</v>
          </cell>
          <cell r="K351" t="str">
            <v>NA</v>
          </cell>
          <cell r="L351">
            <v>1.88</v>
          </cell>
          <cell r="M351">
            <v>43</v>
          </cell>
          <cell r="N351">
            <v>0</v>
          </cell>
          <cell r="O351">
            <v>0</v>
          </cell>
          <cell r="P351">
            <v>0</v>
          </cell>
          <cell r="Q351" t="str">
            <v>39II;341</v>
          </cell>
          <cell r="R351" t="str">
            <v>350;357</v>
          </cell>
          <cell r="S351" t="str">
            <v>EQUIPE TUB</v>
          </cell>
          <cell r="T351">
            <v>39001</v>
          </cell>
        </row>
        <row r="352">
          <cell r="B352" t="str">
            <v>DH.265.IS.01</v>
          </cell>
          <cell r="D352" t="str">
            <v>Isométrico</v>
          </cell>
          <cell r="E352" t="str">
            <v>10 dias</v>
          </cell>
          <cell r="F352">
            <v>38924.604166666664</v>
          </cell>
          <cell r="G352">
            <v>39006.333333333336</v>
          </cell>
          <cell r="H352" t="str">
            <v>NA</v>
          </cell>
          <cell r="I352">
            <v>38947.604166666664</v>
          </cell>
          <cell r="J352">
            <v>39017.729166666664</v>
          </cell>
          <cell r="K352" t="str">
            <v>NA</v>
          </cell>
          <cell r="L352">
            <v>0.35</v>
          </cell>
          <cell r="M352">
            <v>8</v>
          </cell>
          <cell r="N352">
            <v>0</v>
          </cell>
          <cell r="O352">
            <v>0</v>
          </cell>
          <cell r="P352">
            <v>0</v>
          </cell>
          <cell r="Q352">
            <v>349</v>
          </cell>
          <cell r="S352" t="str">
            <v>EQUIPE TUB</v>
          </cell>
          <cell r="T352">
            <v>39017</v>
          </cell>
        </row>
        <row r="353">
          <cell r="D353" t="str">
            <v>Civil</v>
          </cell>
          <cell r="E353" t="str">
            <v>21 dias</v>
          </cell>
          <cell r="F353">
            <v>38922.333333333336</v>
          </cell>
          <cell r="G353">
            <v>38937.333333333336</v>
          </cell>
          <cell r="H353" t="str">
            <v>NA</v>
          </cell>
          <cell r="I353">
            <v>38954.729166666664</v>
          </cell>
          <cell r="J353">
            <v>38971.729166666664</v>
          </cell>
          <cell r="K353" t="str">
            <v>NA</v>
          </cell>
          <cell r="L353">
            <v>0.48</v>
          </cell>
          <cell r="M353">
            <v>11</v>
          </cell>
          <cell r="N353">
            <v>0</v>
          </cell>
          <cell r="O353">
            <v>0</v>
          </cell>
          <cell r="P353">
            <v>0</v>
          </cell>
          <cell r="T353">
            <v>38971</v>
          </cell>
        </row>
        <row r="354">
          <cell r="D354" t="str">
            <v>Desenho De Detalhamento</v>
          </cell>
          <cell r="E354" t="str">
            <v>21 dias</v>
          </cell>
          <cell r="F354">
            <v>38922.333333333336</v>
          </cell>
          <cell r="G354">
            <v>38937.333333333336</v>
          </cell>
          <cell r="H354" t="str">
            <v>NA</v>
          </cell>
          <cell r="I354">
            <v>38954.729166666664</v>
          </cell>
          <cell r="J354">
            <v>38971.729166666664</v>
          </cell>
          <cell r="K354" t="str">
            <v>NA</v>
          </cell>
          <cell r="L354">
            <v>0.48</v>
          </cell>
          <cell r="M354">
            <v>11</v>
          </cell>
          <cell r="N354">
            <v>0</v>
          </cell>
          <cell r="O354">
            <v>0</v>
          </cell>
          <cell r="P354">
            <v>0</v>
          </cell>
          <cell r="T354">
            <v>38971</v>
          </cell>
        </row>
        <row r="355">
          <cell r="B355" t="str">
            <v>DC.265.DD.01</v>
          </cell>
          <cell r="D355" t="str">
            <v>Casa De Floculantes - Fundação</v>
          </cell>
          <cell r="E355" t="str">
            <v>6 dias</v>
          </cell>
          <cell r="F355">
            <v>38931.333333333336</v>
          </cell>
          <cell r="G355">
            <v>38953.333333333336</v>
          </cell>
          <cell r="H355" t="str">
            <v>NA</v>
          </cell>
          <cell r="I355">
            <v>38945.729166666664</v>
          </cell>
          <cell r="J355">
            <v>38960.729166666664</v>
          </cell>
          <cell r="K355" t="str">
            <v>NA</v>
          </cell>
          <cell r="L355">
            <v>0.13</v>
          </cell>
          <cell r="M355">
            <v>3</v>
          </cell>
          <cell r="N355">
            <v>0</v>
          </cell>
          <cell r="O355">
            <v>0</v>
          </cell>
          <cell r="P355">
            <v>0</v>
          </cell>
          <cell r="Q355">
            <v>354</v>
          </cell>
          <cell r="R355" t="str">
            <v>355;360</v>
          </cell>
          <cell r="S355" t="str">
            <v>EQUIPE CIV</v>
          </cell>
          <cell r="T355">
            <v>38960</v>
          </cell>
        </row>
        <row r="356">
          <cell r="B356" t="str">
            <v>DC.265.DD.02</v>
          </cell>
          <cell r="D356" t="str">
            <v>Planta De Reagentes - Fundação e Inseridos</v>
          </cell>
          <cell r="E356" t="str">
            <v>10 dias</v>
          </cell>
          <cell r="F356">
            <v>38922.333333333336</v>
          </cell>
          <cell r="G356">
            <v>38937.333333333336</v>
          </cell>
          <cell r="H356" t="str">
            <v>NA</v>
          </cell>
          <cell r="I356">
            <v>38930.729166666664</v>
          </cell>
          <cell r="J356">
            <v>38952.729166666664</v>
          </cell>
          <cell r="K356" t="str">
            <v>NA</v>
          </cell>
          <cell r="L356">
            <v>0.31</v>
          </cell>
          <cell r="M356">
            <v>7</v>
          </cell>
          <cell r="N356">
            <v>0</v>
          </cell>
          <cell r="O356">
            <v>0</v>
          </cell>
          <cell r="P356">
            <v>0</v>
          </cell>
          <cell r="Q356" t="str">
            <v>337;344II</v>
          </cell>
          <cell r="R356">
            <v>353</v>
          </cell>
          <cell r="S356" t="str">
            <v>EQUIPE CIV</v>
          </cell>
          <cell r="T356">
            <v>38952</v>
          </cell>
        </row>
        <row r="357">
          <cell r="B357" t="str">
            <v>DC.265.DD.03</v>
          </cell>
          <cell r="D357" t="str">
            <v>Ciclone e Flotação - Fundação</v>
          </cell>
          <cell r="E357" t="str">
            <v>5 dias</v>
          </cell>
          <cell r="F357">
            <v>38946.333333333336</v>
          </cell>
          <cell r="G357">
            <v>38961.333333333336</v>
          </cell>
          <cell r="H357" t="str">
            <v>NA</v>
          </cell>
          <cell r="I357">
            <v>38954.729166666664</v>
          </cell>
          <cell r="J357">
            <v>38971.729166666664</v>
          </cell>
          <cell r="K357" t="str">
            <v>NA</v>
          </cell>
          <cell r="L357">
            <v>0.04</v>
          </cell>
          <cell r="M357">
            <v>1</v>
          </cell>
          <cell r="N357">
            <v>0</v>
          </cell>
          <cell r="O357">
            <v>0</v>
          </cell>
          <cell r="P357">
            <v>0</v>
          </cell>
          <cell r="Q357">
            <v>353</v>
          </cell>
          <cell r="S357" t="str">
            <v>EQUIPE CIV</v>
          </cell>
          <cell r="T357">
            <v>38971</v>
          </cell>
        </row>
        <row r="358">
          <cell r="D358" t="str">
            <v>Estrutura Metálica</v>
          </cell>
          <cell r="E358" t="str">
            <v>13 dias</v>
          </cell>
          <cell r="F358">
            <v>38922.333333333336</v>
          </cell>
          <cell r="G358">
            <v>39006.333333333336</v>
          </cell>
          <cell r="H358" t="str">
            <v>NA</v>
          </cell>
          <cell r="I358">
            <v>38947.729166666664</v>
          </cell>
          <cell r="J358">
            <v>39022.729166666664</v>
          </cell>
          <cell r="K358" t="str">
            <v>NA</v>
          </cell>
          <cell r="L358">
            <v>0.48</v>
          </cell>
          <cell r="M358">
            <v>11</v>
          </cell>
          <cell r="N358">
            <v>0</v>
          </cell>
          <cell r="O358">
            <v>0</v>
          </cell>
          <cell r="P358">
            <v>0</v>
          </cell>
          <cell r="T358">
            <v>39022</v>
          </cell>
        </row>
        <row r="359">
          <cell r="B359" t="str">
            <v>DD.265.DP.01</v>
          </cell>
          <cell r="D359" t="str">
            <v>Desenho De Projeto</v>
          </cell>
          <cell r="E359" t="str">
            <v>13 dias</v>
          </cell>
          <cell r="F359">
            <v>38922.333333333336</v>
          </cell>
          <cell r="G359">
            <v>39006.333333333336</v>
          </cell>
          <cell r="H359" t="str">
            <v>NA</v>
          </cell>
          <cell r="I359">
            <v>38947.729166666664</v>
          </cell>
          <cell r="J359">
            <v>39022.729166666664</v>
          </cell>
          <cell r="K359" t="str">
            <v>NA</v>
          </cell>
          <cell r="L359">
            <v>0.48</v>
          </cell>
          <cell r="M359">
            <v>11</v>
          </cell>
          <cell r="N359">
            <v>0</v>
          </cell>
          <cell r="O359">
            <v>0</v>
          </cell>
          <cell r="P359">
            <v>0</v>
          </cell>
          <cell r="Q359">
            <v>349</v>
          </cell>
          <cell r="S359" t="str">
            <v>EQUIPE MET</v>
          </cell>
          <cell r="T359">
            <v>39022</v>
          </cell>
        </row>
        <row r="360">
          <cell r="D360" t="str">
            <v>Elétrica</v>
          </cell>
          <cell r="E360" t="str">
            <v>14 dias</v>
          </cell>
          <cell r="F360">
            <v>38922.333333333336</v>
          </cell>
          <cell r="G360">
            <v>38961.333333333336</v>
          </cell>
          <cell r="H360" t="str">
            <v>NA</v>
          </cell>
          <cell r="I360">
            <v>38958.729166666664</v>
          </cell>
          <cell r="J360">
            <v>38982.729166666664</v>
          </cell>
          <cell r="K360" t="str">
            <v>NA</v>
          </cell>
          <cell r="L360">
            <v>0.22</v>
          </cell>
          <cell r="M360">
            <v>5</v>
          </cell>
          <cell r="N360">
            <v>0</v>
          </cell>
          <cell r="O360">
            <v>0</v>
          </cell>
          <cell r="P360">
            <v>0</v>
          </cell>
          <cell r="T360">
            <v>38982</v>
          </cell>
        </row>
        <row r="361">
          <cell r="D361" t="str">
            <v>Desenho De Detalhamento</v>
          </cell>
          <cell r="E361" t="str">
            <v>14 dias</v>
          </cell>
          <cell r="F361">
            <v>38922.333333333336</v>
          </cell>
          <cell r="G361">
            <v>38961.333333333336</v>
          </cell>
          <cell r="H361" t="str">
            <v>NA</v>
          </cell>
          <cell r="I361">
            <v>38958.729166666664</v>
          </cell>
          <cell r="J361">
            <v>38982.729166666664</v>
          </cell>
          <cell r="K361" t="str">
            <v>NA</v>
          </cell>
          <cell r="L361">
            <v>0.22</v>
          </cell>
          <cell r="M361">
            <v>5</v>
          </cell>
          <cell r="N361">
            <v>0</v>
          </cell>
          <cell r="O361">
            <v>0</v>
          </cell>
          <cell r="P361">
            <v>0</v>
          </cell>
          <cell r="T361">
            <v>38982</v>
          </cell>
        </row>
        <row r="362">
          <cell r="B362" t="str">
            <v>DE.265.DD.01</v>
          </cell>
          <cell r="D362" t="str">
            <v>Disposição De Força, Controle e Aterramento</v>
          </cell>
          <cell r="E362" t="str">
            <v>6 dias</v>
          </cell>
          <cell r="F362">
            <v>38922.333333333336</v>
          </cell>
          <cell r="G362">
            <v>38961.333333333336</v>
          </cell>
          <cell r="H362" t="str">
            <v>NA</v>
          </cell>
          <cell r="I362">
            <v>38938.729166666664</v>
          </cell>
          <cell r="J362">
            <v>38972.729166666664</v>
          </cell>
          <cell r="K362" t="str">
            <v>NA</v>
          </cell>
          <cell r="L362">
            <v>0.09</v>
          </cell>
          <cell r="M362">
            <v>2</v>
          </cell>
          <cell r="N362">
            <v>0</v>
          </cell>
          <cell r="O362">
            <v>0</v>
          </cell>
          <cell r="P362">
            <v>0</v>
          </cell>
          <cell r="Q362">
            <v>353</v>
          </cell>
          <cell r="R362">
            <v>361</v>
          </cell>
          <cell r="S362" t="str">
            <v>EQUIPE ELE</v>
          </cell>
          <cell r="T362">
            <v>38972</v>
          </cell>
        </row>
        <row r="363">
          <cell r="B363" t="str">
            <v>DE.265.DD.02</v>
          </cell>
          <cell r="D363" t="str">
            <v>Iluminação</v>
          </cell>
          <cell r="E363" t="str">
            <v>8 dias</v>
          </cell>
          <cell r="F363">
            <v>38939.333333333336</v>
          </cell>
          <cell r="G363">
            <v>38973.333333333336</v>
          </cell>
          <cell r="H363" t="str">
            <v>NA</v>
          </cell>
          <cell r="I363">
            <v>38958.729166666664</v>
          </cell>
          <cell r="J363">
            <v>38982.729166666664</v>
          </cell>
          <cell r="K363" t="str">
            <v>NA</v>
          </cell>
          <cell r="L363">
            <v>0.13</v>
          </cell>
          <cell r="M363">
            <v>3</v>
          </cell>
          <cell r="N363">
            <v>0</v>
          </cell>
          <cell r="O363">
            <v>0</v>
          </cell>
          <cell r="P363">
            <v>0</v>
          </cell>
          <cell r="Q363">
            <v>360</v>
          </cell>
          <cell r="S363" t="str">
            <v>EQUIPE ELE</v>
          </cell>
          <cell r="T363">
            <v>38982</v>
          </cell>
        </row>
        <row r="364">
          <cell r="B364" t="str">
            <v>1.1.12</v>
          </cell>
          <cell r="C364" t="str">
            <v>270A</v>
          </cell>
          <cell r="D364" t="str">
            <v>Espessamento de Concentrados (1B)</v>
          </cell>
          <cell r="E364" t="str">
            <v>71 dias</v>
          </cell>
          <cell r="F364">
            <v>38866.375</v>
          </cell>
          <cell r="G364">
            <v>38881.333333333336</v>
          </cell>
          <cell r="H364">
            <v>38881.333333333336</v>
          </cell>
          <cell r="I364">
            <v>38932.729166666664</v>
          </cell>
          <cell r="J364">
            <v>38987.729166666664</v>
          </cell>
          <cell r="K364" t="str">
            <v>NA</v>
          </cell>
          <cell r="L364">
            <v>0.99</v>
          </cell>
          <cell r="M364">
            <v>22.75</v>
          </cell>
          <cell r="N364">
            <v>7.5</v>
          </cell>
          <cell r="O364">
            <v>32.97</v>
          </cell>
          <cell r="P364">
            <v>32.97</v>
          </cell>
          <cell r="T364">
            <v>38987</v>
          </cell>
        </row>
        <row r="365">
          <cell r="D365" t="str">
            <v>Projeto Básico</v>
          </cell>
          <cell r="E365" t="str">
            <v>43 dias</v>
          </cell>
          <cell r="F365">
            <v>38866.333333333336</v>
          </cell>
          <cell r="G365">
            <v>38881.333333333336</v>
          </cell>
          <cell r="H365">
            <v>38881.333333333336</v>
          </cell>
          <cell r="I365">
            <v>38894.729166666664</v>
          </cell>
          <cell r="J365">
            <v>38945.729166666664</v>
          </cell>
          <cell r="K365" t="str">
            <v>NA</v>
          </cell>
          <cell r="L365">
            <v>0.56000000000000005</v>
          </cell>
          <cell r="M365">
            <v>12.75</v>
          </cell>
          <cell r="N365">
            <v>7.5</v>
          </cell>
          <cell r="O365">
            <v>58.82</v>
          </cell>
          <cell r="P365">
            <v>58.82</v>
          </cell>
          <cell r="T365">
            <v>38945</v>
          </cell>
        </row>
        <row r="366">
          <cell r="D366" t="str">
            <v>Processo</v>
          </cell>
          <cell r="E366" t="str">
            <v>3 dias</v>
          </cell>
          <cell r="F366">
            <v>38866.333333333336</v>
          </cell>
          <cell r="G366">
            <v>38924.333333333336</v>
          </cell>
          <cell r="H366">
            <v>38924.333333333336</v>
          </cell>
          <cell r="I366">
            <v>38868.729166666664</v>
          </cell>
          <cell r="J366">
            <v>38926.729166666664</v>
          </cell>
          <cell r="K366" t="str">
            <v>NA</v>
          </cell>
          <cell r="L366">
            <v>0.16</v>
          </cell>
          <cell r="M366">
            <v>3.75</v>
          </cell>
          <cell r="N366">
            <v>3</v>
          </cell>
          <cell r="O366">
            <v>80</v>
          </cell>
          <cell r="P366">
            <v>80</v>
          </cell>
          <cell r="T366">
            <v>38926</v>
          </cell>
        </row>
        <row r="367">
          <cell r="B367" t="str">
            <v>BP.270.FD.01</v>
          </cell>
          <cell r="D367" t="str">
            <v>Folha De Dados - Espessador/ Agitador</v>
          </cell>
          <cell r="E367" t="str">
            <v>3 dias</v>
          </cell>
          <cell r="F367">
            <v>38866.333333333336</v>
          </cell>
          <cell r="G367">
            <v>38924.333333333336</v>
          </cell>
          <cell r="H367">
            <v>38924.333333333336</v>
          </cell>
          <cell r="I367">
            <v>38868.729166666664</v>
          </cell>
          <cell r="J367">
            <v>38926.729166666664</v>
          </cell>
          <cell r="K367" t="str">
            <v>NA</v>
          </cell>
          <cell r="L367">
            <v>0.16</v>
          </cell>
          <cell r="M367">
            <v>3.75</v>
          </cell>
          <cell r="N367">
            <v>3</v>
          </cell>
          <cell r="O367">
            <v>80</v>
          </cell>
          <cell r="P367">
            <v>80</v>
          </cell>
          <cell r="Q367" t="str">
            <v>88II</v>
          </cell>
          <cell r="S367" t="str">
            <v>EQUIPE PRO</v>
          </cell>
          <cell r="T367">
            <v>38926</v>
          </cell>
        </row>
        <row r="368">
          <cell r="D368" t="str">
            <v>Mecânica</v>
          </cell>
          <cell r="E368" t="str">
            <v>11 dias</v>
          </cell>
          <cell r="F368">
            <v>38867.333333333336</v>
          </cell>
          <cell r="G368">
            <v>38926.333333333336</v>
          </cell>
          <cell r="H368" t="str">
            <v>NA</v>
          </cell>
          <cell r="I368">
            <v>38882.729166666664</v>
          </cell>
          <cell r="J368">
            <v>38940.729166666664</v>
          </cell>
          <cell r="K368" t="str">
            <v>NA</v>
          </cell>
          <cell r="L368">
            <v>0.09</v>
          </cell>
          <cell r="M368">
            <v>2</v>
          </cell>
          <cell r="N368">
            <v>0</v>
          </cell>
          <cell r="O368">
            <v>0</v>
          </cell>
          <cell r="P368">
            <v>0</v>
          </cell>
          <cell r="T368">
            <v>38940</v>
          </cell>
        </row>
        <row r="369">
          <cell r="B369" t="str">
            <v>BB.270.DB.01</v>
          </cell>
          <cell r="D369" t="str">
            <v>Desenho Básico - Planta e Cortes</v>
          </cell>
          <cell r="E369" t="str">
            <v>6 dias</v>
          </cell>
          <cell r="F369">
            <v>38867.333333333336</v>
          </cell>
          <cell r="G369">
            <v>38926.333333333336</v>
          </cell>
          <cell r="H369" t="str">
            <v>NA</v>
          </cell>
          <cell r="I369">
            <v>38874.729166666664</v>
          </cell>
          <cell r="J369">
            <v>38933.729166666664</v>
          </cell>
          <cell r="K369" t="str">
            <v>NA</v>
          </cell>
          <cell r="L369">
            <v>0.09</v>
          </cell>
          <cell r="M369">
            <v>2</v>
          </cell>
          <cell r="N369">
            <v>0</v>
          </cell>
          <cell r="O369">
            <v>0</v>
          </cell>
          <cell r="P369">
            <v>0</v>
          </cell>
          <cell r="Q369">
            <v>90</v>
          </cell>
          <cell r="R369" t="str">
            <v>368;370;374</v>
          </cell>
          <cell r="S369" t="str">
            <v>EQUIPE MEC</v>
          </cell>
          <cell r="T369">
            <v>38933</v>
          </cell>
        </row>
        <row r="370">
          <cell r="D370" t="str">
            <v>APROVAÇÃO EBX</v>
          </cell>
          <cell r="E370" t="str">
            <v>5 dias</v>
          </cell>
          <cell r="F370">
            <v>38875.333333333336</v>
          </cell>
          <cell r="G370">
            <v>38936.333333333336</v>
          </cell>
          <cell r="H370" t="str">
            <v>NA</v>
          </cell>
          <cell r="I370">
            <v>38882.729166666664</v>
          </cell>
          <cell r="J370">
            <v>38940.729166666664</v>
          </cell>
          <cell r="K370" t="str">
            <v>NA</v>
          </cell>
          <cell r="L370">
            <v>0</v>
          </cell>
          <cell r="M370">
            <v>0</v>
          </cell>
          <cell r="N370">
            <v>0</v>
          </cell>
          <cell r="O370">
            <v>0</v>
          </cell>
          <cell r="P370" t="str">
            <v>#ERRO</v>
          </cell>
          <cell r="Q370">
            <v>367</v>
          </cell>
          <cell r="T370">
            <v>38940</v>
          </cell>
        </row>
        <row r="371">
          <cell r="D371" t="str">
            <v>Tubulação</v>
          </cell>
          <cell r="E371" t="str">
            <v>43 dias</v>
          </cell>
          <cell r="F371">
            <v>38875.333333333336</v>
          </cell>
          <cell r="G371">
            <v>38881.333333333336</v>
          </cell>
          <cell r="H371">
            <v>38881.333333333336</v>
          </cell>
          <cell r="I371">
            <v>38894.729166666664</v>
          </cell>
          <cell r="J371">
            <v>38945.729166666664</v>
          </cell>
          <cell r="K371" t="str">
            <v>NA</v>
          </cell>
          <cell r="L371">
            <v>0.31</v>
          </cell>
          <cell r="M371">
            <v>7</v>
          </cell>
          <cell r="N371">
            <v>4.5</v>
          </cell>
          <cell r="O371">
            <v>64.290000000000006</v>
          </cell>
          <cell r="P371">
            <v>64.290000000000006</v>
          </cell>
          <cell r="T371">
            <v>38945</v>
          </cell>
        </row>
        <row r="372">
          <cell r="B372" t="str">
            <v>BH.270.DB.01</v>
          </cell>
          <cell r="D372" t="str">
            <v>Desenho Básico - Planta/ Cortes</v>
          </cell>
          <cell r="E372" t="str">
            <v>6 dias</v>
          </cell>
          <cell r="F372">
            <v>38875.333333333336</v>
          </cell>
          <cell r="G372">
            <v>38936.333333333336</v>
          </cell>
          <cell r="H372" t="str">
            <v>NA</v>
          </cell>
          <cell r="I372">
            <v>38886.729166666664</v>
          </cell>
          <cell r="J372">
            <v>38945.729166666664</v>
          </cell>
          <cell r="K372" t="str">
            <v>NA</v>
          </cell>
          <cell r="L372">
            <v>0.09</v>
          </cell>
          <cell r="M372">
            <v>2</v>
          </cell>
          <cell r="N372">
            <v>0</v>
          </cell>
          <cell r="O372">
            <v>0</v>
          </cell>
          <cell r="P372">
            <v>0</v>
          </cell>
          <cell r="Q372" t="str">
            <v>39II;367</v>
          </cell>
          <cell r="S372" t="str">
            <v>EQUIPE TUB</v>
          </cell>
          <cell r="T372">
            <v>38945</v>
          </cell>
        </row>
        <row r="373">
          <cell r="B373" t="str">
            <v>BH.270.MC.01</v>
          </cell>
          <cell r="D373" t="str">
            <v>Memória De Cálculo - Bombas</v>
          </cell>
          <cell r="E373" t="str">
            <v>10 dias</v>
          </cell>
          <cell r="F373">
            <v>38887.333333333336</v>
          </cell>
          <cell r="G373">
            <v>38881.333333333336</v>
          </cell>
          <cell r="H373">
            <v>38881.333333333336</v>
          </cell>
          <cell r="I373">
            <v>38894.729166666664</v>
          </cell>
          <cell r="J373">
            <v>38896.729166666664</v>
          </cell>
          <cell r="K373" t="str">
            <v>NA</v>
          </cell>
          <cell r="L373">
            <v>0.22</v>
          </cell>
          <cell r="M373">
            <v>5</v>
          </cell>
          <cell r="N373">
            <v>4.5</v>
          </cell>
          <cell r="O373">
            <v>90</v>
          </cell>
          <cell r="P373">
            <v>90</v>
          </cell>
          <cell r="Q373" t="str">
            <v>39II</v>
          </cell>
          <cell r="S373" t="str">
            <v>EQUIPE TUB</v>
          </cell>
          <cell r="T373">
            <v>38896</v>
          </cell>
        </row>
        <row r="374">
          <cell r="D374" t="str">
            <v>Projeto Detalhado</v>
          </cell>
          <cell r="E374" t="str">
            <v>22 dias</v>
          </cell>
          <cell r="F374">
            <v>38905.333333333336</v>
          </cell>
          <cell r="G374">
            <v>38954.333333333336</v>
          </cell>
          <cell r="H374" t="str">
            <v>NA</v>
          </cell>
          <cell r="I374">
            <v>38932.729166666664</v>
          </cell>
          <cell r="J374">
            <v>38987.729166666664</v>
          </cell>
          <cell r="K374" t="str">
            <v>NA</v>
          </cell>
          <cell r="L374">
            <v>0.44</v>
          </cell>
          <cell r="M374">
            <v>10</v>
          </cell>
          <cell r="N374">
            <v>0</v>
          </cell>
          <cell r="O374">
            <v>0</v>
          </cell>
          <cell r="P374">
            <v>0</v>
          </cell>
          <cell r="T374">
            <v>38987</v>
          </cell>
        </row>
        <row r="375">
          <cell r="D375" t="str">
            <v>Civil</v>
          </cell>
          <cell r="E375" t="str">
            <v>8 dias</v>
          </cell>
          <cell r="F375">
            <v>38905.333333333336</v>
          </cell>
          <cell r="G375">
            <v>38954.333333333336</v>
          </cell>
          <cell r="H375" t="str">
            <v>NA</v>
          </cell>
          <cell r="I375">
            <v>38915.729166666664</v>
          </cell>
          <cell r="J375">
            <v>38965.729166666664</v>
          </cell>
          <cell r="K375" t="str">
            <v>NA</v>
          </cell>
          <cell r="L375">
            <v>0.22</v>
          </cell>
          <cell r="M375">
            <v>5</v>
          </cell>
          <cell r="N375">
            <v>0</v>
          </cell>
          <cell r="O375">
            <v>0</v>
          </cell>
          <cell r="P375">
            <v>0</v>
          </cell>
          <cell r="T375">
            <v>38965</v>
          </cell>
        </row>
        <row r="376">
          <cell r="B376" t="str">
            <v>DC.270.DD.01</v>
          </cell>
          <cell r="D376" t="str">
            <v>Desenho De Detalhamento - Forma e Armação</v>
          </cell>
          <cell r="E376" t="str">
            <v>8 dias</v>
          </cell>
          <cell r="F376">
            <v>38905.333333333336</v>
          </cell>
          <cell r="G376">
            <v>38954.333333333336</v>
          </cell>
          <cell r="H376" t="str">
            <v>NA</v>
          </cell>
          <cell r="I376">
            <v>38915.729166666664</v>
          </cell>
          <cell r="J376">
            <v>38965.729166666664</v>
          </cell>
          <cell r="K376" t="str">
            <v>NA</v>
          </cell>
          <cell r="L376">
            <v>0.22</v>
          </cell>
          <cell r="M376">
            <v>5</v>
          </cell>
          <cell r="N376">
            <v>0</v>
          </cell>
          <cell r="O376">
            <v>0</v>
          </cell>
          <cell r="P376">
            <v>0</v>
          </cell>
          <cell r="Q376" t="str">
            <v>318TT;367</v>
          </cell>
          <cell r="R376">
            <v>377</v>
          </cell>
          <cell r="S376" t="str">
            <v>EQUIPE CIV</v>
          </cell>
          <cell r="T376">
            <v>38965</v>
          </cell>
        </row>
        <row r="377">
          <cell r="D377" t="str">
            <v>Elétrica</v>
          </cell>
          <cell r="E377" t="str">
            <v>14 dias</v>
          </cell>
          <cell r="F377">
            <v>38919.333333333336</v>
          </cell>
          <cell r="G377">
            <v>38966.333333333336</v>
          </cell>
          <cell r="H377" t="str">
            <v>NA</v>
          </cell>
          <cell r="I377">
            <v>38932.729166666664</v>
          </cell>
          <cell r="J377">
            <v>38987.729166666664</v>
          </cell>
          <cell r="K377" t="str">
            <v>NA</v>
          </cell>
          <cell r="L377">
            <v>0.22</v>
          </cell>
          <cell r="M377">
            <v>5</v>
          </cell>
          <cell r="N377">
            <v>0</v>
          </cell>
          <cell r="O377">
            <v>0</v>
          </cell>
          <cell r="P377">
            <v>0</v>
          </cell>
          <cell r="T377">
            <v>38987</v>
          </cell>
        </row>
        <row r="378">
          <cell r="D378" t="str">
            <v>Desenho De Detalhamento</v>
          </cell>
          <cell r="E378" t="str">
            <v>14 dias</v>
          </cell>
          <cell r="F378">
            <v>38919.333333333336</v>
          </cell>
          <cell r="G378">
            <v>38966.333333333336</v>
          </cell>
          <cell r="H378" t="str">
            <v>NA</v>
          </cell>
          <cell r="I378">
            <v>38932.729166666664</v>
          </cell>
          <cell r="J378">
            <v>38987.729166666664</v>
          </cell>
          <cell r="K378" t="str">
            <v>NA</v>
          </cell>
          <cell r="L378">
            <v>0.22</v>
          </cell>
          <cell r="M378">
            <v>5</v>
          </cell>
          <cell r="N378">
            <v>0</v>
          </cell>
          <cell r="O378">
            <v>0</v>
          </cell>
          <cell r="P378">
            <v>0</v>
          </cell>
          <cell r="T378">
            <v>38987</v>
          </cell>
        </row>
        <row r="379">
          <cell r="B379" t="str">
            <v>DE.270.DD.01</v>
          </cell>
          <cell r="D379" t="str">
            <v>Disposição De Força, Controle e Aterramento</v>
          </cell>
          <cell r="E379" t="str">
            <v>8 dias</v>
          </cell>
          <cell r="F379">
            <v>38919.333333333336</v>
          </cell>
          <cell r="G379">
            <v>38966.333333333336</v>
          </cell>
          <cell r="H379" t="str">
            <v>NA</v>
          </cell>
          <cell r="I379">
            <v>38932.729166666664</v>
          </cell>
          <cell r="J379">
            <v>38979.729166666664</v>
          </cell>
          <cell r="K379" t="str">
            <v>NA</v>
          </cell>
          <cell r="L379">
            <v>0.13</v>
          </cell>
          <cell r="M379">
            <v>3</v>
          </cell>
          <cell r="N379">
            <v>0</v>
          </cell>
          <cell r="O379">
            <v>0</v>
          </cell>
          <cell r="P379">
            <v>0</v>
          </cell>
          <cell r="Q379">
            <v>374</v>
          </cell>
          <cell r="R379">
            <v>378</v>
          </cell>
          <cell r="S379" t="str">
            <v>EQUIPE ELE</v>
          </cell>
          <cell r="T379">
            <v>38979</v>
          </cell>
        </row>
        <row r="380">
          <cell r="B380" t="str">
            <v>DE.270.DD.02</v>
          </cell>
          <cell r="D380" t="str">
            <v>Iluminação</v>
          </cell>
          <cell r="E380" t="str">
            <v>6 dias</v>
          </cell>
          <cell r="F380">
            <v>38919.333333333336</v>
          </cell>
          <cell r="G380">
            <v>38980.333333333336</v>
          </cell>
          <cell r="H380" t="str">
            <v>NA</v>
          </cell>
          <cell r="I380">
            <v>38931.729166666664</v>
          </cell>
          <cell r="J380">
            <v>38987.729166666664</v>
          </cell>
          <cell r="K380" t="str">
            <v>NA</v>
          </cell>
          <cell r="L380">
            <v>0.09</v>
          </cell>
          <cell r="M380">
            <v>2</v>
          </cell>
          <cell r="N380">
            <v>0</v>
          </cell>
          <cell r="O380">
            <v>0</v>
          </cell>
          <cell r="P380">
            <v>0</v>
          </cell>
          <cell r="Q380">
            <v>377</v>
          </cell>
          <cell r="S380" t="str">
            <v>EQUIPE ELE</v>
          </cell>
          <cell r="T380">
            <v>38987</v>
          </cell>
        </row>
        <row r="381">
          <cell r="B381" t="str">
            <v>1.1.13</v>
          </cell>
          <cell r="C381" t="str">
            <v>275A</v>
          </cell>
          <cell r="D381" t="str">
            <v>Planta de Reagentes (2B)</v>
          </cell>
          <cell r="E381" t="str">
            <v>74 dias</v>
          </cell>
          <cell r="F381">
            <v>38814.375</v>
          </cell>
          <cell r="G381">
            <v>38824.333333333336</v>
          </cell>
          <cell r="H381">
            <v>38824.333333333336</v>
          </cell>
          <cell r="I381">
            <v>38833.375</v>
          </cell>
          <cell r="J381">
            <v>38931.729166666664</v>
          </cell>
          <cell r="K381" t="str">
            <v>NA</v>
          </cell>
          <cell r="L381">
            <v>1.26</v>
          </cell>
          <cell r="M381">
            <v>28.88</v>
          </cell>
          <cell r="N381">
            <v>25.99</v>
          </cell>
          <cell r="O381">
            <v>90</v>
          </cell>
          <cell r="P381">
            <v>90</v>
          </cell>
          <cell r="T381">
            <v>38931</v>
          </cell>
        </row>
        <row r="382">
          <cell r="D382" t="str">
            <v>Projeto Básico</v>
          </cell>
          <cell r="E382" t="str">
            <v>74 dias</v>
          </cell>
          <cell r="F382">
            <v>38814.333333333336</v>
          </cell>
          <cell r="G382">
            <v>38824.333333333336</v>
          </cell>
          <cell r="H382">
            <v>38824.333333333336</v>
          </cell>
          <cell r="I382">
            <v>38833.729166666664</v>
          </cell>
          <cell r="J382">
            <v>38931.729166666664</v>
          </cell>
          <cell r="K382" t="str">
            <v>NA</v>
          </cell>
          <cell r="L382">
            <v>1.26</v>
          </cell>
          <cell r="M382">
            <v>28.88</v>
          </cell>
          <cell r="N382">
            <v>25.99</v>
          </cell>
          <cell r="O382">
            <v>90</v>
          </cell>
          <cell r="P382">
            <v>90</v>
          </cell>
          <cell r="T382">
            <v>38931</v>
          </cell>
        </row>
        <row r="383">
          <cell r="D383" t="str">
            <v>Processo</v>
          </cell>
          <cell r="E383" t="str">
            <v>10 dias</v>
          </cell>
          <cell r="F383">
            <v>38814.333333333336</v>
          </cell>
          <cell r="G383">
            <v>38824.333333333336</v>
          </cell>
          <cell r="H383">
            <v>38824.333333333336</v>
          </cell>
          <cell r="I383">
            <v>38833.729166666664</v>
          </cell>
          <cell r="J383">
            <v>38839.729166666664</v>
          </cell>
          <cell r="K383" t="str">
            <v>NA</v>
          </cell>
          <cell r="L383">
            <v>0.11</v>
          </cell>
          <cell r="M383">
            <v>2.5</v>
          </cell>
          <cell r="N383">
            <v>2.25</v>
          </cell>
          <cell r="O383">
            <v>90</v>
          </cell>
          <cell r="P383">
            <v>90</v>
          </cell>
          <cell r="T383">
            <v>38839</v>
          </cell>
        </row>
        <row r="384">
          <cell r="B384" t="str">
            <v>BP.275.FP.01</v>
          </cell>
          <cell r="D384" t="str">
            <v>Fluxograma De Processo</v>
          </cell>
          <cell r="E384" t="str">
            <v>10 dias</v>
          </cell>
          <cell r="F384">
            <v>38814.333333333336</v>
          </cell>
          <cell r="G384">
            <v>38824.333333333336</v>
          </cell>
          <cell r="H384">
            <v>38824.333333333336</v>
          </cell>
          <cell r="I384">
            <v>38833.729166666664</v>
          </cell>
          <cell r="J384">
            <v>38839.729166666664</v>
          </cell>
          <cell r="K384" t="str">
            <v>NA</v>
          </cell>
          <cell r="L384">
            <v>0.11</v>
          </cell>
          <cell r="M384">
            <v>2.5</v>
          </cell>
          <cell r="N384">
            <v>2.25</v>
          </cell>
          <cell r="O384">
            <v>90</v>
          </cell>
          <cell r="P384">
            <v>90</v>
          </cell>
          <cell r="Q384" t="str">
            <v>14II</v>
          </cell>
          <cell r="S384" t="str">
            <v>EQUIPE PRO</v>
          </cell>
          <cell r="T384">
            <v>38839</v>
          </cell>
        </row>
        <row r="385">
          <cell r="D385" t="str">
            <v>Estrutura Metálica</v>
          </cell>
          <cell r="E385" t="str">
            <v>15 dias</v>
          </cell>
          <cell r="F385" t="str">
            <v>NA</v>
          </cell>
          <cell r="G385">
            <v>38911.333333333336</v>
          </cell>
          <cell r="H385">
            <v>38911.333333333336</v>
          </cell>
          <cell r="I385" t="str">
            <v>NA</v>
          </cell>
          <cell r="J385">
            <v>38931.729166666664</v>
          </cell>
          <cell r="K385" t="str">
            <v>NA</v>
          </cell>
          <cell r="L385">
            <v>1.1499999999999999</v>
          </cell>
          <cell r="M385">
            <v>26.38</v>
          </cell>
          <cell r="N385">
            <v>23.74</v>
          </cell>
          <cell r="O385">
            <v>90</v>
          </cell>
          <cell r="P385">
            <v>90</v>
          </cell>
          <cell r="T385">
            <v>38931</v>
          </cell>
        </row>
        <row r="386">
          <cell r="B386" t="str">
            <v>BD.275.MC.01</v>
          </cell>
          <cell r="D386" t="str">
            <v>Memória De Cálculo</v>
          </cell>
          <cell r="E386" t="str">
            <v>15 dias</v>
          </cell>
          <cell r="F386" t="str">
            <v>NA</v>
          </cell>
          <cell r="G386">
            <v>38911.333333333336</v>
          </cell>
          <cell r="H386">
            <v>38911.333333333336</v>
          </cell>
          <cell r="I386" t="str">
            <v>NA</v>
          </cell>
          <cell r="J386">
            <v>38931.729166666664</v>
          </cell>
          <cell r="K386" t="str">
            <v>NA</v>
          </cell>
          <cell r="L386">
            <v>1.1499999999999999</v>
          </cell>
          <cell r="M386">
            <v>26.38</v>
          </cell>
          <cell r="N386">
            <v>23.74</v>
          </cell>
          <cell r="O386">
            <v>90</v>
          </cell>
          <cell r="P386">
            <v>90</v>
          </cell>
          <cell r="Q386">
            <v>337</v>
          </cell>
          <cell r="S386" t="str">
            <v>EQUIPE MET</v>
          </cell>
          <cell r="T386">
            <v>38931</v>
          </cell>
        </row>
        <row r="387">
          <cell r="B387" t="str">
            <v>1.1.14</v>
          </cell>
          <cell r="C387" t="str">
            <v>280A</v>
          </cell>
          <cell r="D387" t="str">
            <v>Filtragem (2C)</v>
          </cell>
          <cell r="E387" t="str">
            <v>144 dias</v>
          </cell>
          <cell r="F387">
            <v>38825.333333333336</v>
          </cell>
          <cell r="G387">
            <v>38819.333333333336</v>
          </cell>
          <cell r="H387">
            <v>38819.333333333336</v>
          </cell>
          <cell r="I387">
            <v>38947.729166666664</v>
          </cell>
          <cell r="J387">
            <v>39041.729166666664</v>
          </cell>
          <cell r="K387" t="str">
            <v>NA</v>
          </cell>
          <cell r="L387">
            <v>5.94</v>
          </cell>
          <cell r="M387">
            <v>136</v>
          </cell>
          <cell r="N387">
            <v>9.1</v>
          </cell>
          <cell r="O387">
            <v>6.69</v>
          </cell>
          <cell r="P387">
            <v>6.69</v>
          </cell>
          <cell r="T387">
            <v>39041</v>
          </cell>
        </row>
        <row r="388">
          <cell r="D388" t="str">
            <v>Projeto Básico</v>
          </cell>
          <cell r="E388" t="str">
            <v>87 dias</v>
          </cell>
          <cell r="F388">
            <v>38825.333333333336</v>
          </cell>
          <cell r="G388">
            <v>38819.333333333336</v>
          </cell>
          <cell r="H388">
            <v>38819.333333333336</v>
          </cell>
          <cell r="I388">
            <v>38873.729166666664</v>
          </cell>
          <cell r="J388">
            <v>38951.729166666664</v>
          </cell>
          <cell r="K388" t="str">
            <v>NA</v>
          </cell>
          <cell r="L388">
            <v>0.85</v>
          </cell>
          <cell r="M388">
            <v>19.5</v>
          </cell>
          <cell r="N388">
            <v>9.1</v>
          </cell>
          <cell r="O388">
            <v>46.67</v>
          </cell>
          <cell r="P388">
            <v>46.67</v>
          </cell>
          <cell r="T388">
            <v>38951</v>
          </cell>
        </row>
        <row r="389">
          <cell r="D389" t="str">
            <v>Processo</v>
          </cell>
          <cell r="E389" t="str">
            <v>2 dias</v>
          </cell>
          <cell r="F389">
            <v>38825.333333333336</v>
          </cell>
          <cell r="G389">
            <v>38939.333333333336</v>
          </cell>
          <cell r="H389">
            <v>38939.333333333336</v>
          </cell>
          <cell r="I389">
            <v>38826.729166666664</v>
          </cell>
          <cell r="J389">
            <v>38940.729166666664</v>
          </cell>
          <cell r="K389" t="str">
            <v>NA</v>
          </cell>
          <cell r="L389">
            <v>0.11</v>
          </cell>
          <cell r="M389">
            <v>2.5</v>
          </cell>
          <cell r="N389">
            <v>1.45</v>
          </cell>
          <cell r="O389">
            <v>58</v>
          </cell>
          <cell r="P389">
            <v>58</v>
          </cell>
          <cell r="T389">
            <v>38940</v>
          </cell>
        </row>
        <row r="390">
          <cell r="B390" t="str">
            <v>BP.280.FD.01</v>
          </cell>
          <cell r="D390" t="str">
            <v>Folha De Dados - Filtros/ Agitador</v>
          </cell>
          <cell r="E390" t="str">
            <v>2 dias</v>
          </cell>
          <cell r="F390">
            <v>38825.333333333336</v>
          </cell>
          <cell r="G390">
            <v>38939.333333333336</v>
          </cell>
          <cell r="H390">
            <v>38939.333333333336</v>
          </cell>
          <cell r="I390">
            <v>38826.729166666664</v>
          </cell>
          <cell r="J390">
            <v>38940.729166666664</v>
          </cell>
          <cell r="K390" t="str">
            <v>NA</v>
          </cell>
          <cell r="L390">
            <v>0.11</v>
          </cell>
          <cell r="M390">
            <v>2.5</v>
          </cell>
          <cell r="N390">
            <v>1.45</v>
          </cell>
          <cell r="O390">
            <v>58</v>
          </cell>
          <cell r="P390">
            <v>58</v>
          </cell>
          <cell r="Q390" t="str">
            <v>14II</v>
          </cell>
          <cell r="S390" t="str">
            <v>EQUIPE PRO</v>
          </cell>
          <cell r="T390">
            <v>38940</v>
          </cell>
        </row>
        <row r="391">
          <cell r="D391" t="str">
            <v>Mecânica</v>
          </cell>
          <cell r="E391" t="str">
            <v>86 dias</v>
          </cell>
          <cell r="F391">
            <v>38833.333333333336</v>
          </cell>
          <cell r="G391">
            <v>38819.333333333336</v>
          </cell>
          <cell r="H391">
            <v>38819.333333333336</v>
          </cell>
          <cell r="I391">
            <v>38863.729166666664</v>
          </cell>
          <cell r="J391">
            <v>38950.729166666664</v>
          </cell>
          <cell r="K391" t="str">
            <v>NA</v>
          </cell>
          <cell r="L391">
            <v>0.48</v>
          </cell>
          <cell r="M391">
            <v>11</v>
          </cell>
          <cell r="N391">
            <v>4.05</v>
          </cell>
          <cell r="O391">
            <v>36.82</v>
          </cell>
          <cell r="P391">
            <v>36.82</v>
          </cell>
          <cell r="T391">
            <v>38950</v>
          </cell>
        </row>
        <row r="392">
          <cell r="B392" t="str">
            <v>BB.280.DB.01</v>
          </cell>
          <cell r="D392" t="str">
            <v>Desenho Básico - Planta e Cortes</v>
          </cell>
          <cell r="E392" t="str">
            <v>77 dias</v>
          </cell>
          <cell r="F392">
            <v>38833.333333333336</v>
          </cell>
          <cell r="G392">
            <v>38819.333333333336</v>
          </cell>
          <cell r="H392">
            <v>38819.333333333336</v>
          </cell>
          <cell r="I392">
            <v>38855.729166666664</v>
          </cell>
          <cell r="J392">
            <v>38933.729166666664</v>
          </cell>
          <cell r="K392" t="str">
            <v>NA</v>
          </cell>
          <cell r="L392">
            <v>0.2</v>
          </cell>
          <cell r="M392">
            <v>4.5</v>
          </cell>
          <cell r="N392">
            <v>4.05</v>
          </cell>
          <cell r="O392">
            <v>90</v>
          </cell>
          <cell r="P392">
            <v>90</v>
          </cell>
          <cell r="Q392" t="str">
            <v>14II</v>
          </cell>
          <cell r="R392" t="str">
            <v>391;392;394;400;407;397</v>
          </cell>
          <cell r="S392" t="str">
            <v>EQUIPE MEC</v>
          </cell>
          <cell r="T392">
            <v>38933</v>
          </cell>
        </row>
        <row r="393">
          <cell r="B393" t="str">
            <v>BB.280.DB.02</v>
          </cell>
          <cell r="D393" t="str">
            <v>Desenho Básico - Transportador/ Caixa Polpa</v>
          </cell>
          <cell r="E393" t="str">
            <v>9 dias</v>
          </cell>
          <cell r="F393">
            <v>38856.333333333336</v>
          </cell>
          <cell r="G393">
            <v>38936.333333333336</v>
          </cell>
          <cell r="H393" t="str">
            <v>NA</v>
          </cell>
          <cell r="I393">
            <v>38863.729166666664</v>
          </cell>
          <cell r="J393">
            <v>38950.729166666664</v>
          </cell>
          <cell r="K393" t="str">
            <v>NA</v>
          </cell>
          <cell r="L393">
            <v>0.15</v>
          </cell>
          <cell r="M393">
            <v>3.5</v>
          </cell>
          <cell r="N393">
            <v>0</v>
          </cell>
          <cell r="O393">
            <v>0</v>
          </cell>
          <cell r="P393">
            <v>0</v>
          </cell>
          <cell r="Q393">
            <v>390</v>
          </cell>
          <cell r="R393">
            <v>400</v>
          </cell>
          <cell r="S393" t="str">
            <v>EQUIPE MEC</v>
          </cell>
          <cell r="T393">
            <v>38950</v>
          </cell>
        </row>
        <row r="394">
          <cell r="B394" t="str">
            <v>BB.280.FD.01</v>
          </cell>
          <cell r="D394" t="str">
            <v>Folha De Dados - Transport. e Bombas</v>
          </cell>
          <cell r="E394" t="str">
            <v>4 dias</v>
          </cell>
          <cell r="F394">
            <v>38856.333333333336</v>
          </cell>
          <cell r="G394">
            <v>38936.333333333336</v>
          </cell>
          <cell r="H394" t="str">
            <v>NA</v>
          </cell>
          <cell r="I394">
            <v>38861.729166666664</v>
          </cell>
          <cell r="J394">
            <v>38939.729166666664</v>
          </cell>
          <cell r="K394" t="str">
            <v>NA</v>
          </cell>
          <cell r="L394">
            <v>0.13</v>
          </cell>
          <cell r="M394">
            <v>3</v>
          </cell>
          <cell r="N394">
            <v>0</v>
          </cell>
          <cell r="O394">
            <v>0</v>
          </cell>
          <cell r="P394">
            <v>0</v>
          </cell>
          <cell r="Q394">
            <v>390</v>
          </cell>
          <cell r="S394" t="str">
            <v>EQUIPE MEC</v>
          </cell>
          <cell r="T394">
            <v>38939</v>
          </cell>
        </row>
        <row r="395">
          <cell r="D395" t="str">
            <v>Tubulação</v>
          </cell>
          <cell r="E395" t="str">
            <v>45 dias</v>
          </cell>
          <cell r="F395">
            <v>38856.333333333336</v>
          </cell>
          <cell r="G395">
            <v>38887.333333333336</v>
          </cell>
          <cell r="H395">
            <v>38887.333333333336</v>
          </cell>
          <cell r="I395">
            <v>38873.729166666664</v>
          </cell>
          <cell r="J395">
            <v>38951.729166666664</v>
          </cell>
          <cell r="K395" t="str">
            <v>NA</v>
          </cell>
          <cell r="L395">
            <v>0.26</v>
          </cell>
          <cell r="M395">
            <v>6</v>
          </cell>
          <cell r="N395">
            <v>3.6</v>
          </cell>
          <cell r="O395">
            <v>60</v>
          </cell>
          <cell r="P395">
            <v>60</v>
          </cell>
          <cell r="T395">
            <v>38951</v>
          </cell>
        </row>
        <row r="396">
          <cell r="B396" t="str">
            <v>BH.280.DB.01</v>
          </cell>
          <cell r="D396" t="str">
            <v>Desenho Básico</v>
          </cell>
          <cell r="E396" t="str">
            <v>10 dias</v>
          </cell>
          <cell r="F396">
            <v>38856.333333333336</v>
          </cell>
          <cell r="G396">
            <v>38936.333333333336</v>
          </cell>
          <cell r="H396" t="str">
            <v>NA</v>
          </cell>
          <cell r="I396">
            <v>38865.729166666664</v>
          </cell>
          <cell r="J396">
            <v>38951.729166666664</v>
          </cell>
          <cell r="K396" t="str">
            <v>NA</v>
          </cell>
          <cell r="L396">
            <v>0.09</v>
          </cell>
          <cell r="M396">
            <v>2</v>
          </cell>
          <cell r="N396">
            <v>0</v>
          </cell>
          <cell r="O396">
            <v>0</v>
          </cell>
          <cell r="P396">
            <v>0</v>
          </cell>
          <cell r="Q396" t="str">
            <v>14II;39II;390</v>
          </cell>
          <cell r="R396">
            <v>403</v>
          </cell>
          <cell r="S396" t="str">
            <v>EQUIPE TUB[60%]</v>
          </cell>
          <cell r="T396">
            <v>38951</v>
          </cell>
        </row>
        <row r="397">
          <cell r="B397" t="str">
            <v>BH.280.MC.01</v>
          </cell>
          <cell r="D397" t="str">
            <v>Memória De Cálculo - Bombas</v>
          </cell>
          <cell r="E397" t="str">
            <v>8 dias</v>
          </cell>
          <cell r="F397">
            <v>38866.333333333336</v>
          </cell>
          <cell r="G397">
            <v>38887.333333333336</v>
          </cell>
          <cell r="H397">
            <v>38887.333333333336</v>
          </cell>
          <cell r="I397">
            <v>38873.729166666664</v>
          </cell>
          <cell r="J397">
            <v>38896.729166666664</v>
          </cell>
          <cell r="K397" t="str">
            <v>NA</v>
          </cell>
          <cell r="L397">
            <v>0.17</v>
          </cell>
          <cell r="M397">
            <v>4</v>
          </cell>
          <cell r="N397">
            <v>3.6</v>
          </cell>
          <cell r="O397">
            <v>90</v>
          </cell>
          <cell r="P397">
            <v>90</v>
          </cell>
          <cell r="Q397" t="str">
            <v>39II</v>
          </cell>
          <cell r="S397" t="str">
            <v>EQUIPE TUB</v>
          </cell>
          <cell r="T397">
            <v>38896</v>
          </cell>
        </row>
        <row r="398">
          <cell r="D398" t="str">
            <v>Estrutura Metálica</v>
          </cell>
          <cell r="E398" t="str">
            <v>10 dias</v>
          </cell>
          <cell r="F398" t="str">
            <v>NA</v>
          </cell>
          <cell r="G398">
            <v>38936.333333333336</v>
          </cell>
          <cell r="H398" t="str">
            <v>NA</v>
          </cell>
          <cell r="I398" t="str">
            <v>NA</v>
          </cell>
          <cell r="J398">
            <v>38951.729166666664</v>
          </cell>
          <cell r="K398" t="str">
            <v>NA</v>
          </cell>
          <cell r="L398">
            <v>0</v>
          </cell>
          <cell r="M398">
            <v>0</v>
          </cell>
          <cell r="N398">
            <v>0</v>
          </cell>
          <cell r="O398">
            <v>0</v>
          </cell>
          <cell r="P398" t="str">
            <v>#ERRO</v>
          </cell>
          <cell r="T398">
            <v>38951</v>
          </cell>
        </row>
        <row r="399">
          <cell r="B399" t="str">
            <v>BD.280.MC</v>
          </cell>
          <cell r="D399" t="str">
            <v>Memória De Cálculo</v>
          </cell>
          <cell r="E399" t="str">
            <v>10 dias</v>
          </cell>
          <cell r="F399" t="str">
            <v>NA</v>
          </cell>
          <cell r="G399">
            <v>38936.333333333336</v>
          </cell>
          <cell r="H399" t="str">
            <v>NA</v>
          </cell>
          <cell r="I399" t="str">
            <v>NA</v>
          </cell>
          <cell r="J399">
            <v>38951.729166666664</v>
          </cell>
          <cell r="K399" t="str">
            <v>NA</v>
          </cell>
          <cell r="L399">
            <v>0</v>
          </cell>
          <cell r="M399">
            <v>0</v>
          </cell>
          <cell r="N399">
            <v>0</v>
          </cell>
          <cell r="O399">
            <v>0</v>
          </cell>
          <cell r="P399" t="str">
            <v>#ERRO</v>
          </cell>
          <cell r="Q399">
            <v>390</v>
          </cell>
          <cell r="R399">
            <v>407</v>
          </cell>
          <cell r="S399" t="str">
            <v>EQUIPE MET</v>
          </cell>
          <cell r="T399">
            <v>38951</v>
          </cell>
        </row>
        <row r="400">
          <cell r="D400" t="str">
            <v>Projeto Detalhado</v>
          </cell>
          <cell r="E400" t="str">
            <v>59 dias</v>
          </cell>
          <cell r="F400">
            <v>38887.333333333336</v>
          </cell>
          <cell r="G400">
            <v>38950.333333333336</v>
          </cell>
          <cell r="H400" t="str">
            <v>NA</v>
          </cell>
          <cell r="I400">
            <v>38947.729166666664</v>
          </cell>
          <cell r="J400">
            <v>39041.729166666664</v>
          </cell>
          <cell r="K400" t="str">
            <v>NA</v>
          </cell>
          <cell r="L400">
            <v>5.09</v>
          </cell>
          <cell r="M400">
            <v>116.5</v>
          </cell>
          <cell r="N400">
            <v>0</v>
          </cell>
          <cell r="O400">
            <v>0</v>
          </cell>
          <cell r="P400">
            <v>0</v>
          </cell>
          <cell r="T400">
            <v>39041</v>
          </cell>
        </row>
        <row r="401">
          <cell r="D401" t="str">
            <v>Mecânica</v>
          </cell>
          <cell r="E401" t="str">
            <v>7 dias</v>
          </cell>
          <cell r="F401">
            <v>38887.333333333336</v>
          </cell>
          <cell r="G401">
            <v>38950.333333333336</v>
          </cell>
          <cell r="H401" t="str">
            <v>NA</v>
          </cell>
          <cell r="I401">
            <v>38908.729166666664</v>
          </cell>
          <cell r="J401">
            <v>38958.729166666664</v>
          </cell>
          <cell r="K401" t="str">
            <v>NA</v>
          </cell>
          <cell r="L401">
            <v>0.31</v>
          </cell>
          <cell r="M401">
            <v>7</v>
          </cell>
          <cell r="N401">
            <v>0</v>
          </cell>
          <cell r="O401">
            <v>0</v>
          </cell>
          <cell r="P401">
            <v>0</v>
          </cell>
          <cell r="T401">
            <v>38958</v>
          </cell>
        </row>
        <row r="402">
          <cell r="B402" t="str">
            <v>DB.280.DD.01</v>
          </cell>
          <cell r="D402" t="str">
            <v>Desenho De Detalhamento - Chutes</v>
          </cell>
          <cell r="E402" t="str">
            <v>5 dias</v>
          </cell>
          <cell r="F402">
            <v>38887.333333333336</v>
          </cell>
          <cell r="G402">
            <v>38952.333333333336</v>
          </cell>
          <cell r="H402" t="str">
            <v>NA</v>
          </cell>
          <cell r="I402">
            <v>38894.729166666664</v>
          </cell>
          <cell r="J402">
            <v>38958.729166666664</v>
          </cell>
          <cell r="K402" t="str">
            <v>NA</v>
          </cell>
          <cell r="L402">
            <v>0.09</v>
          </cell>
          <cell r="M402">
            <v>2</v>
          </cell>
          <cell r="N402">
            <v>0</v>
          </cell>
          <cell r="O402">
            <v>0</v>
          </cell>
          <cell r="P402">
            <v>0</v>
          </cell>
          <cell r="Q402" t="str">
            <v>30TI+10 dias;390;391</v>
          </cell>
          <cell r="R402" t="str">
            <v>401TT</v>
          </cell>
          <cell r="S402" t="str">
            <v>EQUIPE MEC</v>
          </cell>
          <cell r="T402">
            <v>38958</v>
          </cell>
        </row>
        <row r="403">
          <cell r="B403" t="str">
            <v>DB.280.DM.01</v>
          </cell>
          <cell r="D403" t="str">
            <v>Diagrama De Montagem</v>
          </cell>
          <cell r="E403" t="str">
            <v>7 dias</v>
          </cell>
          <cell r="F403">
            <v>38895.333333333336</v>
          </cell>
          <cell r="G403">
            <v>38950.333333333336</v>
          </cell>
          <cell r="H403" t="str">
            <v>NA</v>
          </cell>
          <cell r="I403">
            <v>38908.729166666664</v>
          </cell>
          <cell r="J403">
            <v>38958.729166666664</v>
          </cell>
          <cell r="K403" t="str">
            <v>NA</v>
          </cell>
          <cell r="L403">
            <v>0.22</v>
          </cell>
          <cell r="M403">
            <v>5</v>
          </cell>
          <cell r="N403">
            <v>0</v>
          </cell>
          <cell r="O403">
            <v>0</v>
          </cell>
          <cell r="P403">
            <v>0</v>
          </cell>
          <cell r="Q403" t="str">
            <v>400TT</v>
          </cell>
          <cell r="S403" t="str">
            <v>EQUIPE MEC</v>
          </cell>
          <cell r="T403">
            <v>38958</v>
          </cell>
        </row>
        <row r="404">
          <cell r="D404" t="str">
            <v>Tubulação</v>
          </cell>
          <cell r="E404" t="str">
            <v>57 dias</v>
          </cell>
          <cell r="F404">
            <v>38895.333333333336</v>
          </cell>
          <cell r="G404">
            <v>38952.333333333336</v>
          </cell>
          <cell r="H404" t="str">
            <v>NA</v>
          </cell>
          <cell r="I404">
            <v>38947.729166666664</v>
          </cell>
          <cell r="J404">
            <v>39041.729166666664</v>
          </cell>
          <cell r="K404" t="str">
            <v>NA</v>
          </cell>
          <cell r="L404">
            <v>2.14</v>
          </cell>
          <cell r="M404">
            <v>49</v>
          </cell>
          <cell r="N404">
            <v>0</v>
          </cell>
          <cell r="O404">
            <v>0</v>
          </cell>
          <cell r="P404">
            <v>0</v>
          </cell>
          <cell r="T404">
            <v>39041</v>
          </cell>
        </row>
        <row r="405">
          <cell r="B405" t="str">
            <v>DH.280.DD.01</v>
          </cell>
          <cell r="D405" t="str">
            <v>Desenho De Detalhamento - Planta Tubulação</v>
          </cell>
          <cell r="E405" t="str">
            <v>33 dias</v>
          </cell>
          <cell r="F405">
            <v>38895.333333333336</v>
          </cell>
          <cell r="G405">
            <v>38952.333333333336</v>
          </cell>
          <cell r="H405" t="str">
            <v>NA</v>
          </cell>
          <cell r="I405">
            <v>38944.729166666664</v>
          </cell>
          <cell r="J405">
            <v>39000.729166666664</v>
          </cell>
          <cell r="K405" t="str">
            <v>NA</v>
          </cell>
          <cell r="L405">
            <v>1.18</v>
          </cell>
          <cell r="M405">
            <v>27</v>
          </cell>
          <cell r="N405">
            <v>0</v>
          </cell>
          <cell r="O405">
            <v>0</v>
          </cell>
          <cell r="P405">
            <v>0</v>
          </cell>
          <cell r="Q405" t="str">
            <v>39II;394</v>
          </cell>
          <cell r="R405" t="str">
            <v>404;409</v>
          </cell>
          <cell r="S405" t="str">
            <v>EQUIPE TUB</v>
          </cell>
          <cell r="T405">
            <v>39000</v>
          </cell>
        </row>
        <row r="406">
          <cell r="B406" t="str">
            <v>DH.280.IS.01</v>
          </cell>
          <cell r="D406" t="str">
            <v>Isométrico</v>
          </cell>
          <cell r="E406" t="str">
            <v>22 dias</v>
          </cell>
          <cell r="F406">
            <v>38895.333333333336</v>
          </cell>
          <cell r="G406">
            <v>39001.333333333336</v>
          </cell>
          <cell r="H406" t="str">
            <v>NA</v>
          </cell>
          <cell r="I406">
            <v>38932.729166666664</v>
          </cell>
          <cell r="J406">
            <v>39037.729166666664</v>
          </cell>
          <cell r="K406" t="str">
            <v>NA</v>
          </cell>
          <cell r="L406">
            <v>0.79</v>
          </cell>
          <cell r="M406">
            <v>18</v>
          </cell>
          <cell r="N406">
            <v>0</v>
          </cell>
          <cell r="O406">
            <v>0</v>
          </cell>
          <cell r="P406">
            <v>0</v>
          </cell>
          <cell r="Q406">
            <v>403</v>
          </cell>
          <cell r="R406">
            <v>405</v>
          </cell>
          <cell r="S406" t="str">
            <v>EQUIPE TUB</v>
          </cell>
          <cell r="T406">
            <v>39037</v>
          </cell>
        </row>
        <row r="407">
          <cell r="B407" t="str">
            <v>DH.280.LM.01</v>
          </cell>
          <cell r="D407" t="str">
            <v>Lista De Materiais</v>
          </cell>
          <cell r="E407" t="str">
            <v>2 dias</v>
          </cell>
          <cell r="F407">
            <v>38945.333333333336</v>
          </cell>
          <cell r="G407">
            <v>39038.333333333336</v>
          </cell>
          <cell r="H407" t="str">
            <v>NA</v>
          </cell>
          <cell r="I407">
            <v>38947.729166666664</v>
          </cell>
          <cell r="J407">
            <v>39041.729166666664</v>
          </cell>
          <cell r="K407" t="str">
            <v>NA</v>
          </cell>
          <cell r="L407">
            <v>0.17</v>
          </cell>
          <cell r="M407">
            <v>4</v>
          </cell>
          <cell r="N407">
            <v>0</v>
          </cell>
          <cell r="O407">
            <v>0</v>
          </cell>
          <cell r="P407">
            <v>0</v>
          </cell>
          <cell r="Q407">
            <v>404</v>
          </cell>
          <cell r="S407" t="str">
            <v>EQUIPE TUB</v>
          </cell>
          <cell r="T407">
            <v>39041</v>
          </cell>
        </row>
        <row r="408">
          <cell r="D408" t="str">
            <v>Civil</v>
          </cell>
          <cell r="E408" t="str">
            <v>7 dias</v>
          </cell>
          <cell r="F408">
            <v>38895.333333333336</v>
          </cell>
          <cell r="G408">
            <v>38952.333333333336</v>
          </cell>
          <cell r="H408" t="str">
            <v>NA</v>
          </cell>
          <cell r="I408">
            <v>38908.729166666664</v>
          </cell>
          <cell r="J408">
            <v>38960.729166666664</v>
          </cell>
          <cell r="K408" t="str">
            <v>NA</v>
          </cell>
          <cell r="L408">
            <v>0.22</v>
          </cell>
          <cell r="M408">
            <v>5</v>
          </cell>
          <cell r="N408">
            <v>0</v>
          </cell>
          <cell r="O408">
            <v>0</v>
          </cell>
          <cell r="P408">
            <v>0</v>
          </cell>
          <cell r="T408">
            <v>38960</v>
          </cell>
        </row>
        <row r="409">
          <cell r="B409" t="str">
            <v>DC.280.DD.01</v>
          </cell>
          <cell r="D409" t="str">
            <v>Desenho De Detalhamento - Fundações, Bases e Pisos</v>
          </cell>
          <cell r="E409" t="str">
            <v>7 dias</v>
          </cell>
          <cell r="F409">
            <v>38895.333333333336</v>
          </cell>
          <cell r="G409">
            <v>38952.333333333336</v>
          </cell>
          <cell r="H409" t="str">
            <v>NA</v>
          </cell>
          <cell r="I409">
            <v>38908.729166666664</v>
          </cell>
          <cell r="J409">
            <v>38960.729166666664</v>
          </cell>
          <cell r="K409" t="str">
            <v>NA</v>
          </cell>
          <cell r="L409">
            <v>0.22</v>
          </cell>
          <cell r="M409">
            <v>5</v>
          </cell>
          <cell r="N409">
            <v>0</v>
          </cell>
          <cell r="O409">
            <v>0</v>
          </cell>
          <cell r="P409">
            <v>0</v>
          </cell>
          <cell r="Q409" t="str">
            <v>390;397</v>
          </cell>
          <cell r="R409" t="str">
            <v>414;291</v>
          </cell>
          <cell r="S409" t="str">
            <v>EQUIPE CIV</v>
          </cell>
          <cell r="T409">
            <v>38960</v>
          </cell>
        </row>
        <row r="410">
          <cell r="D410" t="str">
            <v>Estrutura Metálica</v>
          </cell>
          <cell r="E410" t="str">
            <v>22 dias</v>
          </cell>
          <cell r="F410">
            <v>38895.333333333336</v>
          </cell>
          <cell r="G410">
            <v>39001.333333333336</v>
          </cell>
          <cell r="H410" t="str">
            <v>NA</v>
          </cell>
          <cell r="I410">
            <v>38924.729166666664</v>
          </cell>
          <cell r="J410">
            <v>39037.729166666664</v>
          </cell>
          <cell r="K410" t="str">
            <v>NA</v>
          </cell>
          <cell r="L410">
            <v>1.81</v>
          </cell>
          <cell r="M410">
            <v>41.5</v>
          </cell>
          <cell r="N410">
            <v>0</v>
          </cell>
          <cell r="O410">
            <v>0</v>
          </cell>
          <cell r="P410">
            <v>0</v>
          </cell>
          <cell r="T410">
            <v>39037</v>
          </cell>
        </row>
        <row r="411">
          <cell r="B411" t="str">
            <v>DD.280.DP.01</v>
          </cell>
          <cell r="D411" t="str">
            <v>Desenho De Projeto</v>
          </cell>
          <cell r="E411" t="str">
            <v>21 dias</v>
          </cell>
          <cell r="F411">
            <v>38895.333333333336</v>
          </cell>
          <cell r="G411">
            <v>39001.333333333336</v>
          </cell>
          <cell r="H411" t="str">
            <v>NA</v>
          </cell>
          <cell r="I411">
            <v>38923.729166666664</v>
          </cell>
          <cell r="J411">
            <v>39035.729166666664</v>
          </cell>
          <cell r="K411" t="str">
            <v>NA</v>
          </cell>
          <cell r="L411">
            <v>0.83</v>
          </cell>
          <cell r="M411">
            <v>19</v>
          </cell>
          <cell r="N411">
            <v>0</v>
          </cell>
          <cell r="O411">
            <v>0</v>
          </cell>
          <cell r="P411">
            <v>0</v>
          </cell>
          <cell r="Q411">
            <v>403</v>
          </cell>
          <cell r="R411" t="str">
            <v>410;411II</v>
          </cell>
          <cell r="S411" t="str">
            <v>EQUIPE MET</v>
          </cell>
          <cell r="T411">
            <v>39035</v>
          </cell>
        </row>
        <row r="412">
          <cell r="B412" t="str">
            <v>DD.280.LM.01</v>
          </cell>
          <cell r="D412" t="str">
            <v>Lista De Materiais</v>
          </cell>
          <cell r="E412" t="str">
            <v>1 dia</v>
          </cell>
          <cell r="F412">
            <v>38924.333333333336</v>
          </cell>
          <cell r="G412">
            <v>39037.333333333336</v>
          </cell>
          <cell r="H412" t="str">
            <v>NA</v>
          </cell>
          <cell r="I412">
            <v>38924.729166666664</v>
          </cell>
          <cell r="J412">
            <v>39037.729166666664</v>
          </cell>
          <cell r="K412" t="str">
            <v>NA</v>
          </cell>
          <cell r="L412">
            <v>0.01</v>
          </cell>
          <cell r="M412">
            <v>0.25</v>
          </cell>
          <cell r="N412">
            <v>0</v>
          </cell>
          <cell r="O412">
            <v>0</v>
          </cell>
          <cell r="P412">
            <v>0</v>
          </cell>
          <cell r="Q412">
            <v>409</v>
          </cell>
          <cell r="S412" t="str">
            <v>EQUIPE MET</v>
          </cell>
          <cell r="T412">
            <v>39037</v>
          </cell>
        </row>
        <row r="413">
          <cell r="B413" t="str">
            <v>DD.280.MC.01</v>
          </cell>
          <cell r="D413" t="str">
            <v>Memória De Cálculo</v>
          </cell>
          <cell r="E413" t="str">
            <v>22 dias</v>
          </cell>
          <cell r="F413">
            <v>38924.333333333336</v>
          </cell>
          <cell r="G413">
            <v>39001.333333333336</v>
          </cell>
          <cell r="H413" t="str">
            <v>NA</v>
          </cell>
          <cell r="I413">
            <v>38924.729166666664</v>
          </cell>
          <cell r="J413">
            <v>39037.729166666664</v>
          </cell>
          <cell r="K413" t="str">
            <v>NA</v>
          </cell>
          <cell r="L413">
            <v>0.97</v>
          </cell>
          <cell r="M413">
            <v>22.25</v>
          </cell>
          <cell r="N413">
            <v>0</v>
          </cell>
          <cell r="O413">
            <v>0</v>
          </cell>
          <cell r="P413">
            <v>0</v>
          </cell>
          <cell r="Q413" t="str">
            <v>409II</v>
          </cell>
          <cell r="S413" t="str">
            <v>EQUIPE MET</v>
          </cell>
          <cell r="T413">
            <v>39037</v>
          </cell>
        </row>
        <row r="414">
          <cell r="D414" t="str">
            <v>Elétrica</v>
          </cell>
          <cell r="E414" t="str">
            <v>26 dias</v>
          </cell>
          <cell r="F414">
            <v>38908.333333333336</v>
          </cell>
          <cell r="G414">
            <v>38961.333333333336</v>
          </cell>
          <cell r="H414" t="str">
            <v>NA</v>
          </cell>
          <cell r="I414">
            <v>38929.729166666664</v>
          </cell>
          <cell r="J414">
            <v>39000.729166666664</v>
          </cell>
          <cell r="K414" t="str">
            <v>NA</v>
          </cell>
          <cell r="L414">
            <v>0.52</v>
          </cell>
          <cell r="M414">
            <v>12</v>
          </cell>
          <cell r="N414">
            <v>0</v>
          </cell>
          <cell r="O414">
            <v>0</v>
          </cell>
          <cell r="P414">
            <v>0</v>
          </cell>
          <cell r="T414">
            <v>39000</v>
          </cell>
        </row>
        <row r="415">
          <cell r="D415" t="str">
            <v>Desenho De Detalhamento</v>
          </cell>
          <cell r="E415" t="str">
            <v>26 dias</v>
          </cell>
          <cell r="F415">
            <v>38908.333333333336</v>
          </cell>
          <cell r="G415">
            <v>38961.333333333336</v>
          </cell>
          <cell r="H415" t="str">
            <v>NA</v>
          </cell>
          <cell r="I415">
            <v>38929.729166666664</v>
          </cell>
          <cell r="J415">
            <v>39000.729166666664</v>
          </cell>
          <cell r="K415" t="str">
            <v>NA</v>
          </cell>
          <cell r="L415">
            <v>0.52</v>
          </cell>
          <cell r="M415">
            <v>12</v>
          </cell>
          <cell r="N415">
            <v>0</v>
          </cell>
          <cell r="O415">
            <v>0</v>
          </cell>
          <cell r="P415">
            <v>0</v>
          </cell>
          <cell r="T415">
            <v>39000</v>
          </cell>
        </row>
        <row r="416">
          <cell r="B416" t="str">
            <v>DE.280.DD.01</v>
          </cell>
          <cell r="D416" t="str">
            <v>Disposição De Força, Controle e Aterramento</v>
          </cell>
          <cell r="E416" t="str">
            <v>15 dias</v>
          </cell>
          <cell r="F416">
            <v>38908.333333333336</v>
          </cell>
          <cell r="G416">
            <v>38961.333333333336</v>
          </cell>
          <cell r="H416" t="str">
            <v>NA</v>
          </cell>
          <cell r="I416">
            <v>38929.729166666664</v>
          </cell>
          <cell r="J416">
            <v>38985.729166666664</v>
          </cell>
          <cell r="K416" t="str">
            <v>NA</v>
          </cell>
          <cell r="L416">
            <v>0.31</v>
          </cell>
          <cell r="M416">
            <v>7</v>
          </cell>
          <cell r="N416">
            <v>0</v>
          </cell>
          <cell r="O416">
            <v>0</v>
          </cell>
          <cell r="P416">
            <v>0</v>
          </cell>
          <cell r="Q416">
            <v>407</v>
          </cell>
          <cell r="R416">
            <v>415</v>
          </cell>
          <cell r="S416" t="str">
            <v>EQUIPE ELE</v>
          </cell>
          <cell r="T416">
            <v>38985</v>
          </cell>
        </row>
        <row r="417">
          <cell r="B417" t="str">
            <v>DE.280.DD.02</v>
          </cell>
          <cell r="D417" t="str">
            <v>Iluminação</v>
          </cell>
          <cell r="E417" t="str">
            <v>11 dias</v>
          </cell>
          <cell r="F417">
            <v>38908.333333333336</v>
          </cell>
          <cell r="G417">
            <v>38986.333333333336</v>
          </cell>
          <cell r="H417" t="str">
            <v>NA</v>
          </cell>
          <cell r="I417">
            <v>38929.729166666664</v>
          </cell>
          <cell r="J417">
            <v>39000.729166666664</v>
          </cell>
          <cell r="K417" t="str">
            <v>NA</v>
          </cell>
          <cell r="L417">
            <v>0.22</v>
          </cell>
          <cell r="M417">
            <v>5</v>
          </cell>
          <cell r="N417">
            <v>0</v>
          </cell>
          <cell r="O417">
            <v>0</v>
          </cell>
          <cell r="P417">
            <v>0</v>
          </cell>
          <cell r="Q417">
            <v>414</v>
          </cell>
          <cell r="S417" t="str">
            <v>EQUIPE ELE</v>
          </cell>
          <cell r="T417">
            <v>39000</v>
          </cell>
        </row>
        <row r="418">
          <cell r="D418" t="str">
            <v>Instrumentação</v>
          </cell>
          <cell r="E418" t="str">
            <v>8 dias</v>
          </cell>
          <cell r="F418">
            <v>38895.333333333336</v>
          </cell>
          <cell r="G418">
            <v>39013.333333333336</v>
          </cell>
          <cell r="H418" t="str">
            <v>NA</v>
          </cell>
          <cell r="I418">
            <v>38905.729166666664</v>
          </cell>
          <cell r="J418">
            <v>39022.729166666664</v>
          </cell>
          <cell r="K418" t="str">
            <v>NA</v>
          </cell>
          <cell r="L418">
            <v>0.09</v>
          </cell>
          <cell r="M418">
            <v>2</v>
          </cell>
          <cell r="N418">
            <v>0</v>
          </cell>
          <cell r="O418">
            <v>0</v>
          </cell>
          <cell r="P418">
            <v>0</v>
          </cell>
          <cell r="T418">
            <v>39022</v>
          </cell>
        </row>
        <row r="419">
          <cell r="B419" t="str">
            <v>DT.280.AJ.01</v>
          </cell>
          <cell r="D419" t="str">
            <v>Arranjos/ Layout’s/ Plano Diretor - Locação De Instrumentos</v>
          </cell>
          <cell r="E419" t="str">
            <v>8 dias</v>
          </cell>
          <cell r="F419">
            <v>38895.333333333336</v>
          </cell>
          <cell r="G419">
            <v>39013.333333333336</v>
          </cell>
          <cell r="H419" t="str">
            <v>NA</v>
          </cell>
          <cell r="I419">
            <v>38905.729166666664</v>
          </cell>
          <cell r="J419">
            <v>39022.729166666664</v>
          </cell>
          <cell r="K419" t="str">
            <v>NA</v>
          </cell>
          <cell r="L419">
            <v>0.09</v>
          </cell>
          <cell r="M419">
            <v>2</v>
          </cell>
          <cell r="N419">
            <v>0</v>
          </cell>
          <cell r="O419">
            <v>0</v>
          </cell>
          <cell r="P419">
            <v>0</v>
          </cell>
          <cell r="Q419">
            <v>82</v>
          </cell>
          <cell r="R419" t="str">
            <v>205;302</v>
          </cell>
          <cell r="S419" t="str">
            <v>EQUIPE TSA</v>
          </cell>
          <cell r="T419">
            <v>39022</v>
          </cell>
        </row>
        <row r="420">
          <cell r="B420" t="str">
            <v>1.1.15</v>
          </cell>
          <cell r="C420" t="str">
            <v>290A</v>
          </cell>
          <cell r="D420" t="str">
            <v>Estocagem/ Carregamento Ferrovia (1D)</v>
          </cell>
          <cell r="E420" t="str">
            <v>189 dias</v>
          </cell>
          <cell r="F420">
            <v>38783.333333333336</v>
          </cell>
          <cell r="G420">
            <v>38783.333333333336</v>
          </cell>
          <cell r="H420">
            <v>38783.333333333336</v>
          </cell>
          <cell r="I420" t="str">
            <v>NA</v>
          </cell>
          <cell r="J420">
            <v>39066.729166666664</v>
          </cell>
          <cell r="K420" t="str">
            <v>NA</v>
          </cell>
          <cell r="L420">
            <v>8.65</v>
          </cell>
          <cell r="M420">
            <v>197.88</v>
          </cell>
          <cell r="N420">
            <v>3.6</v>
          </cell>
          <cell r="O420">
            <v>1.82</v>
          </cell>
          <cell r="P420">
            <v>1.82</v>
          </cell>
          <cell r="T420">
            <v>39066</v>
          </cell>
        </row>
        <row r="421">
          <cell r="D421" t="str">
            <v>Projeto Básico</v>
          </cell>
          <cell r="E421" t="str">
            <v>127 dias</v>
          </cell>
          <cell r="F421">
            <v>38783.333333333336</v>
          </cell>
          <cell r="G421">
            <v>38783.333333333336</v>
          </cell>
          <cell r="H421">
            <v>38783.333333333336</v>
          </cell>
          <cell r="I421">
            <v>38789.729166666664</v>
          </cell>
          <cell r="J421">
            <v>38973.729166666664</v>
          </cell>
          <cell r="K421" t="str">
            <v>NA</v>
          </cell>
          <cell r="L421">
            <v>1.54</v>
          </cell>
          <cell r="M421">
            <v>35.130000000000003</v>
          </cell>
          <cell r="N421">
            <v>3.6</v>
          </cell>
          <cell r="O421">
            <v>10.25</v>
          </cell>
          <cell r="P421">
            <v>10.25</v>
          </cell>
          <cell r="T421">
            <v>38973</v>
          </cell>
        </row>
        <row r="422">
          <cell r="D422" t="str">
            <v>Processo</v>
          </cell>
          <cell r="E422" t="str">
            <v>20 dias</v>
          </cell>
          <cell r="F422">
            <v>38783.333333333336</v>
          </cell>
          <cell r="G422">
            <v>38783.333333333336</v>
          </cell>
          <cell r="H422">
            <v>38783.333333333336</v>
          </cell>
          <cell r="I422">
            <v>38789.729166666664</v>
          </cell>
          <cell r="J422">
            <v>38810.729166666664</v>
          </cell>
          <cell r="K422" t="str">
            <v>NA</v>
          </cell>
          <cell r="L422">
            <v>0.08</v>
          </cell>
          <cell r="M422">
            <v>1.75</v>
          </cell>
          <cell r="N422">
            <v>1.58</v>
          </cell>
          <cell r="O422">
            <v>90</v>
          </cell>
          <cell r="P422">
            <v>90</v>
          </cell>
          <cell r="T422">
            <v>38810</v>
          </cell>
        </row>
        <row r="423">
          <cell r="B423" t="str">
            <v>BP.290.RT.01</v>
          </cell>
          <cell r="D423" t="str">
            <v>Relatório Técnico - Estudos Viabilidade Carregamento</v>
          </cell>
          <cell r="E423" t="str">
            <v>20 dias</v>
          </cell>
          <cell r="F423">
            <v>38783.333333333336</v>
          </cell>
          <cell r="G423">
            <v>38783.333333333336</v>
          </cell>
          <cell r="H423">
            <v>38783.333333333336</v>
          </cell>
          <cell r="I423">
            <v>38789.729166666664</v>
          </cell>
          <cell r="J423">
            <v>38810.729166666664</v>
          </cell>
          <cell r="K423" t="str">
            <v>NA</v>
          </cell>
          <cell r="L423">
            <v>0.08</v>
          </cell>
          <cell r="M423">
            <v>1.75</v>
          </cell>
          <cell r="N423">
            <v>1.58</v>
          </cell>
          <cell r="O423">
            <v>90</v>
          </cell>
          <cell r="P423">
            <v>90</v>
          </cell>
          <cell r="Q423" t="str">
            <v>14II</v>
          </cell>
          <cell r="S423" t="str">
            <v>EQUIPE PRO</v>
          </cell>
          <cell r="T423">
            <v>38810</v>
          </cell>
        </row>
        <row r="424">
          <cell r="D424" t="str">
            <v>Mecânica</v>
          </cell>
          <cell r="E424" t="str">
            <v>18 dias</v>
          </cell>
          <cell r="F424" t="str">
            <v>NA</v>
          </cell>
          <cell r="G424">
            <v>38940.333333333336</v>
          </cell>
          <cell r="H424" t="str">
            <v>NA</v>
          </cell>
          <cell r="I424" t="str">
            <v>NA</v>
          </cell>
          <cell r="J424">
            <v>38971.729166666664</v>
          </cell>
          <cell r="K424" t="str">
            <v>NA</v>
          </cell>
          <cell r="L424">
            <v>0.94</v>
          </cell>
          <cell r="M424">
            <v>21.5</v>
          </cell>
          <cell r="N424">
            <v>0</v>
          </cell>
          <cell r="O424">
            <v>0</v>
          </cell>
          <cell r="P424">
            <v>0</v>
          </cell>
          <cell r="T424">
            <v>38971</v>
          </cell>
        </row>
        <row r="425">
          <cell r="D425" t="str">
            <v>Desenho Básico</v>
          </cell>
          <cell r="E425" t="str">
            <v>18 dias</v>
          </cell>
          <cell r="F425" t="str">
            <v>NA</v>
          </cell>
          <cell r="G425">
            <v>38940.333333333336</v>
          </cell>
          <cell r="H425" t="str">
            <v>NA</v>
          </cell>
          <cell r="I425" t="str">
            <v>NA</v>
          </cell>
          <cell r="J425">
            <v>38971.729166666664</v>
          </cell>
          <cell r="K425" t="str">
            <v>NA</v>
          </cell>
          <cell r="L425">
            <v>0.61</v>
          </cell>
          <cell r="M425">
            <v>14</v>
          </cell>
          <cell r="N425">
            <v>0</v>
          </cell>
          <cell r="O425">
            <v>0</v>
          </cell>
          <cell r="P425">
            <v>0</v>
          </cell>
          <cell r="R425">
            <v>436</v>
          </cell>
          <cell r="T425">
            <v>38971</v>
          </cell>
        </row>
        <row r="426">
          <cell r="B426" t="str">
            <v>BB.290.DB.01</v>
          </cell>
          <cell r="D426" t="str">
            <v>Arranjo Geral</v>
          </cell>
          <cell r="E426" t="str">
            <v>10 dias</v>
          </cell>
          <cell r="F426" t="str">
            <v>NA</v>
          </cell>
          <cell r="G426">
            <v>38940.333333333336</v>
          </cell>
          <cell r="H426" t="str">
            <v>NA</v>
          </cell>
          <cell r="I426" t="str">
            <v>NA</v>
          </cell>
          <cell r="J426">
            <v>38957.729166666664</v>
          </cell>
          <cell r="K426" t="str">
            <v>NA</v>
          </cell>
          <cell r="L426">
            <v>0.31</v>
          </cell>
          <cell r="M426">
            <v>7</v>
          </cell>
          <cell r="N426">
            <v>0</v>
          </cell>
          <cell r="O426">
            <v>0</v>
          </cell>
          <cell r="P426">
            <v>0</v>
          </cell>
          <cell r="Q426" t="str">
            <v>162II</v>
          </cell>
          <cell r="R426" t="str">
            <v>425;426II;428;433;444</v>
          </cell>
          <cell r="S426" t="str">
            <v>EQUIPE MEC</v>
          </cell>
          <cell r="T426">
            <v>38957</v>
          </cell>
        </row>
        <row r="427">
          <cell r="B427" t="str">
            <v>BB.290.DB.02</v>
          </cell>
          <cell r="D427" t="str">
            <v>Transportador/ Alimentador</v>
          </cell>
          <cell r="E427" t="str">
            <v>8 dias</v>
          </cell>
          <cell r="F427" t="str">
            <v>NA</v>
          </cell>
          <cell r="G427">
            <v>38958.333333333336</v>
          </cell>
          <cell r="H427" t="str">
            <v>NA</v>
          </cell>
          <cell r="I427" t="str">
            <v>NA</v>
          </cell>
          <cell r="J427">
            <v>38971.729166666664</v>
          </cell>
          <cell r="K427" t="str">
            <v>NA</v>
          </cell>
          <cell r="L427">
            <v>0.31</v>
          </cell>
          <cell r="M427">
            <v>7</v>
          </cell>
          <cell r="N427">
            <v>0</v>
          </cell>
          <cell r="O427">
            <v>0</v>
          </cell>
          <cell r="P427">
            <v>0</v>
          </cell>
          <cell r="Q427">
            <v>424</v>
          </cell>
          <cell r="S427" t="str">
            <v>EQUIPE MEC</v>
          </cell>
          <cell r="T427">
            <v>38971</v>
          </cell>
        </row>
        <row r="428">
          <cell r="B428" t="str">
            <v>BB.290.FD.01</v>
          </cell>
          <cell r="D428" t="str">
            <v>Folha De Dados - Transportador/ Alimentador</v>
          </cell>
          <cell r="E428" t="str">
            <v>7 dias</v>
          </cell>
          <cell r="F428" t="str">
            <v>NA</v>
          </cell>
          <cell r="G428">
            <v>38940.333333333336</v>
          </cell>
          <cell r="H428" t="str">
            <v>NA</v>
          </cell>
          <cell r="I428" t="str">
            <v>NA</v>
          </cell>
          <cell r="J428">
            <v>38952.729166666664</v>
          </cell>
          <cell r="K428" t="str">
            <v>NA</v>
          </cell>
          <cell r="L428">
            <v>0.33</v>
          </cell>
          <cell r="M428">
            <v>7.5</v>
          </cell>
          <cell r="N428">
            <v>0</v>
          </cell>
          <cell r="O428">
            <v>0</v>
          </cell>
          <cell r="P428">
            <v>0</v>
          </cell>
          <cell r="Q428" t="str">
            <v>424II</v>
          </cell>
          <cell r="S428" t="str">
            <v>EQUIPE MEC</v>
          </cell>
          <cell r="T428">
            <v>38952</v>
          </cell>
        </row>
        <row r="429">
          <cell r="D429" t="str">
            <v>Tubulação</v>
          </cell>
          <cell r="E429" t="str">
            <v>10 dias</v>
          </cell>
          <cell r="F429" t="str">
            <v>NA</v>
          </cell>
          <cell r="G429">
            <v>38958.333333333336</v>
          </cell>
          <cell r="H429" t="str">
            <v>NA</v>
          </cell>
          <cell r="I429" t="str">
            <v>NA</v>
          </cell>
          <cell r="J429">
            <v>38973.729166666664</v>
          </cell>
          <cell r="K429" t="str">
            <v>NA</v>
          </cell>
          <cell r="L429">
            <v>0.17</v>
          </cell>
          <cell r="M429">
            <v>4</v>
          </cell>
          <cell r="N429">
            <v>0</v>
          </cell>
          <cell r="O429">
            <v>0</v>
          </cell>
          <cell r="P429">
            <v>0</v>
          </cell>
          <cell r="T429">
            <v>38973</v>
          </cell>
        </row>
        <row r="430">
          <cell r="B430" t="str">
            <v>BH.290.DB.01</v>
          </cell>
          <cell r="D430" t="str">
            <v>Desenho Básico - Planta/ Cortes</v>
          </cell>
          <cell r="E430" t="str">
            <v>6 dias</v>
          </cell>
          <cell r="F430" t="str">
            <v>NA</v>
          </cell>
          <cell r="G430">
            <v>38958.333333333336</v>
          </cell>
          <cell r="H430" t="str">
            <v>NA</v>
          </cell>
          <cell r="I430" t="str">
            <v>NA</v>
          </cell>
          <cell r="J430">
            <v>38965.729166666664</v>
          </cell>
          <cell r="K430" t="str">
            <v>NA</v>
          </cell>
          <cell r="L430">
            <v>0.09</v>
          </cell>
          <cell r="M430">
            <v>2</v>
          </cell>
          <cell r="N430">
            <v>0</v>
          </cell>
          <cell r="O430">
            <v>0</v>
          </cell>
          <cell r="P430">
            <v>0</v>
          </cell>
          <cell r="Q430" t="str">
            <v>39II;424</v>
          </cell>
          <cell r="R430" t="str">
            <v>429II;438TI+20 dias</v>
          </cell>
          <cell r="S430" t="str">
            <v>EQUIPE TUB</v>
          </cell>
          <cell r="T430">
            <v>38965</v>
          </cell>
        </row>
        <row r="431">
          <cell r="B431" t="str">
            <v>BH.290.ET.01</v>
          </cell>
          <cell r="D431" t="str">
            <v>Especificação Técnica</v>
          </cell>
          <cell r="E431" t="str">
            <v>10 dias</v>
          </cell>
          <cell r="F431" t="str">
            <v>NA</v>
          </cell>
          <cell r="G431">
            <v>38958.333333333336</v>
          </cell>
          <cell r="H431" t="str">
            <v>NA</v>
          </cell>
          <cell r="I431" t="str">
            <v>NA</v>
          </cell>
          <cell r="J431">
            <v>38973.729166666664</v>
          </cell>
          <cell r="K431" t="str">
            <v>NA</v>
          </cell>
          <cell r="L431">
            <v>0.09</v>
          </cell>
          <cell r="M431">
            <v>2</v>
          </cell>
          <cell r="N431">
            <v>0</v>
          </cell>
          <cell r="O431">
            <v>0</v>
          </cell>
          <cell r="P431">
            <v>0</v>
          </cell>
          <cell r="Q431" t="str">
            <v>39II;428II</v>
          </cell>
          <cell r="S431" t="str">
            <v>EQUIPE TUB</v>
          </cell>
          <cell r="T431">
            <v>38973</v>
          </cell>
        </row>
        <row r="432">
          <cell r="D432" t="str">
            <v>Civil</v>
          </cell>
          <cell r="E432" t="str">
            <v>6 dias</v>
          </cell>
          <cell r="F432" t="str">
            <v>NA</v>
          </cell>
          <cell r="G432">
            <v>38918.333333333336</v>
          </cell>
          <cell r="H432">
            <v>38918.333333333336</v>
          </cell>
          <cell r="I432" t="str">
            <v>NA</v>
          </cell>
          <cell r="J432">
            <v>38925.729166666664</v>
          </cell>
          <cell r="K432" t="str">
            <v>NA</v>
          </cell>
          <cell r="L432">
            <v>0.1</v>
          </cell>
          <cell r="M432">
            <v>2.25</v>
          </cell>
          <cell r="N432">
            <v>2.0299999999999998</v>
          </cell>
          <cell r="O432">
            <v>90</v>
          </cell>
          <cell r="P432">
            <v>90</v>
          </cell>
          <cell r="T432">
            <v>38925</v>
          </cell>
        </row>
        <row r="433">
          <cell r="B433" t="str">
            <v>BC.290.DB.01</v>
          </cell>
          <cell r="D433" t="str">
            <v>Desenho Básico - Locação De Sondagens</v>
          </cell>
          <cell r="E433" t="str">
            <v>6 dias</v>
          </cell>
          <cell r="F433" t="str">
            <v>NA</v>
          </cell>
          <cell r="G433">
            <v>38918.333333333336</v>
          </cell>
          <cell r="H433">
            <v>38918.333333333336</v>
          </cell>
          <cell r="I433" t="str">
            <v>NA</v>
          </cell>
          <cell r="J433">
            <v>38925.729166666664</v>
          </cell>
          <cell r="K433" t="str">
            <v>NA</v>
          </cell>
          <cell r="L433">
            <v>0.1</v>
          </cell>
          <cell r="M433">
            <v>2.25</v>
          </cell>
          <cell r="N433">
            <v>2.0299999999999998</v>
          </cell>
          <cell r="O433">
            <v>90</v>
          </cell>
          <cell r="P433">
            <v>90</v>
          </cell>
          <cell r="Q433" t="str">
            <v>16II</v>
          </cell>
          <cell r="S433" t="str">
            <v>EQUIPE CIV</v>
          </cell>
          <cell r="T433">
            <v>38925</v>
          </cell>
        </row>
        <row r="434">
          <cell r="D434" t="str">
            <v>Estrutura Metálica</v>
          </cell>
          <cell r="E434" t="str">
            <v>5 dias</v>
          </cell>
          <cell r="F434" t="str">
            <v>NA</v>
          </cell>
          <cell r="G434">
            <v>38958.333333333336</v>
          </cell>
          <cell r="H434" t="str">
            <v>NA</v>
          </cell>
          <cell r="I434" t="str">
            <v>NA</v>
          </cell>
          <cell r="J434">
            <v>38964.729166666664</v>
          </cell>
          <cell r="K434" t="str">
            <v>NA</v>
          </cell>
          <cell r="L434">
            <v>0.25</v>
          </cell>
          <cell r="M434">
            <v>5.63</v>
          </cell>
          <cell r="N434">
            <v>0</v>
          </cell>
          <cell r="O434">
            <v>0</v>
          </cell>
          <cell r="P434">
            <v>0</v>
          </cell>
          <cell r="T434">
            <v>38964</v>
          </cell>
        </row>
        <row r="435">
          <cell r="B435" t="str">
            <v>BD.290.MC.01</v>
          </cell>
          <cell r="D435" t="str">
            <v>Memória De Cálculo</v>
          </cell>
          <cell r="E435" t="str">
            <v>5 dias</v>
          </cell>
          <cell r="F435" t="str">
            <v>NA</v>
          </cell>
          <cell r="G435">
            <v>38958.333333333336</v>
          </cell>
          <cell r="H435" t="str">
            <v>NA</v>
          </cell>
          <cell r="I435" t="str">
            <v>NA</v>
          </cell>
          <cell r="J435">
            <v>38964.729166666664</v>
          </cell>
          <cell r="K435" t="str">
            <v>NA</v>
          </cell>
          <cell r="L435">
            <v>0.25</v>
          </cell>
          <cell r="M435">
            <v>5.63</v>
          </cell>
          <cell r="N435">
            <v>0</v>
          </cell>
          <cell r="O435">
            <v>0</v>
          </cell>
          <cell r="P435">
            <v>0</v>
          </cell>
          <cell r="Q435">
            <v>424</v>
          </cell>
          <cell r="R435" t="str">
            <v>467TI+20 dias</v>
          </cell>
          <cell r="S435" t="str">
            <v>EQUIPE MET</v>
          </cell>
          <cell r="T435">
            <v>38964</v>
          </cell>
        </row>
        <row r="436">
          <cell r="D436" t="str">
            <v>Projeto Detalhado</v>
          </cell>
          <cell r="E436" t="str">
            <v>72 dias</v>
          </cell>
          <cell r="F436" t="str">
            <v>NA</v>
          </cell>
          <cell r="G436">
            <v>38958.333333333336</v>
          </cell>
          <cell r="H436" t="str">
            <v>NA</v>
          </cell>
          <cell r="I436" t="str">
            <v>NA</v>
          </cell>
          <cell r="J436">
            <v>39066.729166666664</v>
          </cell>
          <cell r="K436" t="str">
            <v>NA</v>
          </cell>
          <cell r="L436">
            <v>7.11</v>
          </cell>
          <cell r="M436">
            <v>162.75</v>
          </cell>
          <cell r="N436">
            <v>0</v>
          </cell>
          <cell r="O436">
            <v>0</v>
          </cell>
          <cell r="P436">
            <v>0</v>
          </cell>
          <cell r="T436">
            <v>39066</v>
          </cell>
        </row>
        <row r="437">
          <cell r="D437" t="str">
            <v>Mecânica</v>
          </cell>
          <cell r="E437" t="str">
            <v>20 dias</v>
          </cell>
          <cell r="F437" t="str">
            <v>NA</v>
          </cell>
          <cell r="G437">
            <v>38993.333333333336</v>
          </cell>
          <cell r="H437" t="str">
            <v>NA</v>
          </cell>
          <cell r="I437" t="str">
            <v>NA</v>
          </cell>
          <cell r="J437">
            <v>39022.729166666664</v>
          </cell>
          <cell r="K437" t="str">
            <v>NA</v>
          </cell>
          <cell r="L437">
            <v>0.52</v>
          </cell>
          <cell r="M437">
            <v>12</v>
          </cell>
          <cell r="N437">
            <v>0</v>
          </cell>
          <cell r="O437">
            <v>0</v>
          </cell>
          <cell r="P437">
            <v>0</v>
          </cell>
          <cell r="T437">
            <v>39022</v>
          </cell>
        </row>
        <row r="438">
          <cell r="B438" t="str">
            <v>DB.290.DD.01</v>
          </cell>
          <cell r="D438" t="str">
            <v>Des. Det. - Silo/ Moega/ Válvula Carregamento</v>
          </cell>
          <cell r="E438" t="str">
            <v>20 dias</v>
          </cell>
          <cell r="F438" t="str">
            <v>NA</v>
          </cell>
          <cell r="G438">
            <v>38993.333333333336</v>
          </cell>
          <cell r="H438" t="str">
            <v>NA</v>
          </cell>
          <cell r="I438" t="str">
            <v>NA</v>
          </cell>
          <cell r="J438">
            <v>39022.729166666664</v>
          </cell>
          <cell r="K438" t="str">
            <v>NA</v>
          </cell>
          <cell r="L438">
            <v>0.52</v>
          </cell>
          <cell r="M438">
            <v>12</v>
          </cell>
          <cell r="N438">
            <v>0</v>
          </cell>
          <cell r="O438">
            <v>0</v>
          </cell>
          <cell r="P438">
            <v>0</v>
          </cell>
          <cell r="Q438" t="str">
            <v>170;423</v>
          </cell>
          <cell r="S438" t="str">
            <v>EQUIPE MEC</v>
          </cell>
          <cell r="T438">
            <v>39022</v>
          </cell>
        </row>
        <row r="439">
          <cell r="D439" t="str">
            <v>Tubulação</v>
          </cell>
          <cell r="E439" t="str">
            <v>22 dias</v>
          </cell>
          <cell r="F439" t="str">
            <v>NA</v>
          </cell>
          <cell r="G439">
            <v>38996.333333333336</v>
          </cell>
          <cell r="H439" t="str">
            <v>NA</v>
          </cell>
          <cell r="I439" t="str">
            <v>NA</v>
          </cell>
          <cell r="J439">
            <v>39031.729166666664</v>
          </cell>
          <cell r="K439" t="str">
            <v>NA</v>
          </cell>
          <cell r="L439">
            <v>0.7</v>
          </cell>
          <cell r="M439">
            <v>16.13</v>
          </cell>
          <cell r="N439">
            <v>0</v>
          </cell>
          <cell r="O439">
            <v>0</v>
          </cell>
          <cell r="P439">
            <v>0</v>
          </cell>
          <cell r="T439">
            <v>39031</v>
          </cell>
        </row>
        <row r="440">
          <cell r="B440" t="str">
            <v>DH.290.DD.01</v>
          </cell>
          <cell r="D440" t="str">
            <v>Des. Det. - Agua Serviço e Incêndio/ Ar</v>
          </cell>
          <cell r="E440" t="str">
            <v>8 dias</v>
          </cell>
          <cell r="F440" t="str">
            <v>NA</v>
          </cell>
          <cell r="G440">
            <v>38996.333333333336</v>
          </cell>
          <cell r="H440" t="str">
            <v>NA</v>
          </cell>
          <cell r="I440" t="str">
            <v>NA</v>
          </cell>
          <cell r="J440">
            <v>39009.729166666664</v>
          </cell>
          <cell r="K440" t="str">
            <v>NA</v>
          </cell>
          <cell r="L440">
            <v>0.22</v>
          </cell>
          <cell r="M440">
            <v>5</v>
          </cell>
          <cell r="N440">
            <v>0</v>
          </cell>
          <cell r="O440">
            <v>0</v>
          </cell>
          <cell r="P440">
            <v>0</v>
          </cell>
          <cell r="Q440" t="str">
            <v>39II;428TI+20 dias</v>
          </cell>
          <cell r="R440" t="str">
            <v>439;448</v>
          </cell>
          <cell r="S440" t="str">
            <v>EQUIPE TUB</v>
          </cell>
          <cell r="T440">
            <v>39009</v>
          </cell>
        </row>
        <row r="441">
          <cell r="B441" t="str">
            <v>DH.290.IS.01</v>
          </cell>
          <cell r="D441" t="str">
            <v>Isométrico</v>
          </cell>
          <cell r="E441" t="str">
            <v>10 dias</v>
          </cell>
          <cell r="F441" t="str">
            <v>NA</v>
          </cell>
          <cell r="G441">
            <v>39010.333333333336</v>
          </cell>
          <cell r="H441" t="str">
            <v>NA</v>
          </cell>
          <cell r="I441" t="str">
            <v>NA</v>
          </cell>
          <cell r="J441">
            <v>39027.729166666664</v>
          </cell>
          <cell r="K441" t="str">
            <v>NA</v>
          </cell>
          <cell r="L441">
            <v>0.35</v>
          </cell>
          <cell r="M441">
            <v>8</v>
          </cell>
          <cell r="N441">
            <v>0</v>
          </cell>
          <cell r="O441">
            <v>0</v>
          </cell>
          <cell r="P441">
            <v>0</v>
          </cell>
          <cell r="Q441">
            <v>438</v>
          </cell>
          <cell r="R441">
            <v>440</v>
          </cell>
          <cell r="S441" t="str">
            <v>EQUIPE TUB</v>
          </cell>
          <cell r="T441">
            <v>39027</v>
          </cell>
        </row>
        <row r="442">
          <cell r="B442" t="str">
            <v>DH.290.LC.01</v>
          </cell>
          <cell r="D442" t="str">
            <v>Lista De Linhas/ Cabos</v>
          </cell>
          <cell r="E442" t="str">
            <v>2 dias</v>
          </cell>
          <cell r="F442" t="str">
            <v>NA</v>
          </cell>
          <cell r="G442">
            <v>39028.333333333336</v>
          </cell>
          <cell r="H442" t="str">
            <v>NA</v>
          </cell>
          <cell r="I442" t="str">
            <v>NA</v>
          </cell>
          <cell r="J442">
            <v>39029.729166666664</v>
          </cell>
          <cell r="K442" t="str">
            <v>NA</v>
          </cell>
          <cell r="L442">
            <v>0.05</v>
          </cell>
          <cell r="M442">
            <v>1.25</v>
          </cell>
          <cell r="N442">
            <v>0</v>
          </cell>
          <cell r="O442">
            <v>0</v>
          </cell>
          <cell r="P442">
            <v>0</v>
          </cell>
          <cell r="Q442">
            <v>439</v>
          </cell>
          <cell r="R442">
            <v>441</v>
          </cell>
          <cell r="S442" t="str">
            <v>EQUIPE TUB</v>
          </cell>
          <cell r="T442">
            <v>39029</v>
          </cell>
        </row>
        <row r="443">
          <cell r="B443" t="str">
            <v>DH.290.LM.01</v>
          </cell>
          <cell r="D443" t="str">
            <v>Lista De Materiais</v>
          </cell>
          <cell r="E443" t="str">
            <v>2 dias</v>
          </cell>
          <cell r="F443" t="str">
            <v>NA</v>
          </cell>
          <cell r="G443">
            <v>39030.333333333336</v>
          </cell>
          <cell r="H443" t="str">
            <v>NA</v>
          </cell>
          <cell r="I443" t="str">
            <v>NA</v>
          </cell>
          <cell r="J443">
            <v>39031.729166666664</v>
          </cell>
          <cell r="K443" t="str">
            <v>NA</v>
          </cell>
          <cell r="L443">
            <v>0.08</v>
          </cell>
          <cell r="M443">
            <v>1.88</v>
          </cell>
          <cell r="N443">
            <v>0</v>
          </cell>
          <cell r="O443">
            <v>0</v>
          </cell>
          <cell r="P443">
            <v>0</v>
          </cell>
          <cell r="Q443">
            <v>440</v>
          </cell>
          <cell r="S443" t="str">
            <v>EQUIPE TUB</v>
          </cell>
          <cell r="T443">
            <v>39031</v>
          </cell>
        </row>
        <row r="444">
          <cell r="D444" t="str">
            <v>Civil</v>
          </cell>
          <cell r="E444" t="str">
            <v>72 dias</v>
          </cell>
          <cell r="F444" t="str">
            <v>NA</v>
          </cell>
          <cell r="G444">
            <v>38958.333333333336</v>
          </cell>
          <cell r="H444" t="str">
            <v>NA</v>
          </cell>
          <cell r="I444" t="str">
            <v>NA</v>
          </cell>
          <cell r="J444">
            <v>39066.729166666664</v>
          </cell>
          <cell r="K444" t="str">
            <v>NA</v>
          </cell>
          <cell r="L444">
            <v>3.98</v>
          </cell>
          <cell r="M444">
            <v>91</v>
          </cell>
          <cell r="N444">
            <v>0</v>
          </cell>
          <cell r="O444">
            <v>0</v>
          </cell>
          <cell r="P444">
            <v>0</v>
          </cell>
          <cell r="T444">
            <v>39066</v>
          </cell>
        </row>
        <row r="445">
          <cell r="D445" t="str">
            <v>Desenho De Detalhamento</v>
          </cell>
          <cell r="E445" t="str">
            <v>72 dias</v>
          </cell>
          <cell r="F445" t="str">
            <v>NA</v>
          </cell>
          <cell r="G445">
            <v>38958.333333333336</v>
          </cell>
          <cell r="H445" t="str">
            <v>NA</v>
          </cell>
          <cell r="I445" t="str">
            <v>NA</v>
          </cell>
          <cell r="J445">
            <v>39066.729166666664</v>
          </cell>
          <cell r="K445" t="str">
            <v>NA</v>
          </cell>
          <cell r="L445">
            <v>3.98</v>
          </cell>
          <cell r="M445">
            <v>91</v>
          </cell>
          <cell r="N445">
            <v>0</v>
          </cell>
          <cell r="O445">
            <v>0</v>
          </cell>
          <cell r="P445">
            <v>0</v>
          </cell>
          <cell r="T445">
            <v>39066</v>
          </cell>
        </row>
        <row r="446">
          <cell r="B446" t="str">
            <v>DC.290.DD.01</v>
          </cell>
          <cell r="D446" t="str">
            <v>Terraplenagem/ Drenagem</v>
          </cell>
          <cell r="E446" t="str">
            <v>20 dias</v>
          </cell>
          <cell r="F446" t="str">
            <v>NA</v>
          </cell>
          <cell r="G446">
            <v>38958.333333333336</v>
          </cell>
          <cell r="H446" t="str">
            <v>NA</v>
          </cell>
          <cell r="I446" t="str">
            <v>NA</v>
          </cell>
          <cell r="J446">
            <v>38987.729166666664</v>
          </cell>
          <cell r="K446" t="str">
            <v>NA</v>
          </cell>
          <cell r="L446">
            <v>0.96</v>
          </cell>
          <cell r="M446">
            <v>22</v>
          </cell>
          <cell r="N446">
            <v>0</v>
          </cell>
          <cell r="O446">
            <v>0</v>
          </cell>
          <cell r="P446">
            <v>0</v>
          </cell>
          <cell r="Q446">
            <v>424</v>
          </cell>
          <cell r="R446">
            <v>445</v>
          </cell>
          <cell r="S446" t="str">
            <v>EQUIPE CIV</v>
          </cell>
          <cell r="T446">
            <v>38987</v>
          </cell>
        </row>
        <row r="447">
          <cell r="B447" t="str">
            <v>DC.290.DD.02</v>
          </cell>
          <cell r="D447" t="str">
            <v>Arquitetura - Casa De Bombas/ Sala Elétrica</v>
          </cell>
          <cell r="E447" t="str">
            <v>12 dias</v>
          </cell>
          <cell r="F447" t="str">
            <v>NA</v>
          </cell>
          <cell r="G447">
            <v>38988.333333333336</v>
          </cell>
          <cell r="H447" t="str">
            <v>NA</v>
          </cell>
          <cell r="I447" t="str">
            <v>NA</v>
          </cell>
          <cell r="J447">
            <v>39007.729166666664</v>
          </cell>
          <cell r="K447" t="str">
            <v>NA</v>
          </cell>
          <cell r="L447">
            <v>0.39</v>
          </cell>
          <cell r="M447">
            <v>9</v>
          </cell>
          <cell r="N447">
            <v>0</v>
          </cell>
          <cell r="O447">
            <v>0</v>
          </cell>
          <cell r="P447">
            <v>0</v>
          </cell>
          <cell r="Q447">
            <v>444</v>
          </cell>
          <cell r="R447" t="str">
            <v>446II+2 dias;453;471</v>
          </cell>
          <cell r="S447" t="str">
            <v>EQUIPE ARQ</v>
          </cell>
          <cell r="T447">
            <v>39007</v>
          </cell>
        </row>
        <row r="448">
          <cell r="B448" t="str">
            <v>DC.290.DD.03</v>
          </cell>
          <cell r="D448" t="str">
            <v>Civil - Moega/ Casa Transf./ Silo Carregto. / Tranport./ Ramal Ferroviário</v>
          </cell>
          <cell r="E448" t="str">
            <v>50 dias</v>
          </cell>
          <cell r="F448" t="str">
            <v>NA</v>
          </cell>
          <cell r="G448">
            <v>38992.333333333336</v>
          </cell>
          <cell r="H448" t="str">
            <v>NA</v>
          </cell>
          <cell r="I448" t="str">
            <v>NA</v>
          </cell>
          <cell r="J448">
            <v>39066.729166666664</v>
          </cell>
          <cell r="K448" t="str">
            <v>NA</v>
          </cell>
          <cell r="L448">
            <v>2.62</v>
          </cell>
          <cell r="M448">
            <v>60</v>
          </cell>
          <cell r="N448">
            <v>0</v>
          </cell>
          <cell r="O448">
            <v>0</v>
          </cell>
          <cell r="P448">
            <v>0</v>
          </cell>
          <cell r="Q448" t="str">
            <v>445II+2 dias</v>
          </cell>
          <cell r="R448" t="str">
            <v>453II+35 dias</v>
          </cell>
          <cell r="S448" t="str">
            <v>EQUIPE CIV</v>
          </cell>
          <cell r="T448">
            <v>39066</v>
          </cell>
        </row>
        <row r="449">
          <cell r="D449" t="str">
            <v>Estrutura Metálica</v>
          </cell>
          <cell r="E449" t="str">
            <v>20 dias</v>
          </cell>
          <cell r="F449" t="str">
            <v>NA</v>
          </cell>
          <cell r="G449">
            <v>39010.333333333336</v>
          </cell>
          <cell r="H449" t="str">
            <v>NA</v>
          </cell>
          <cell r="I449" t="str">
            <v>NA</v>
          </cell>
          <cell r="J449">
            <v>39042.729166666664</v>
          </cell>
          <cell r="K449" t="str">
            <v>NA</v>
          </cell>
          <cell r="L449">
            <v>1.43</v>
          </cell>
          <cell r="M449">
            <v>32.630000000000003</v>
          </cell>
          <cell r="N449">
            <v>0</v>
          </cell>
          <cell r="O449">
            <v>0</v>
          </cell>
          <cell r="P449">
            <v>0</v>
          </cell>
          <cell r="T449">
            <v>39042</v>
          </cell>
        </row>
        <row r="450">
          <cell r="B450" t="str">
            <v>DD.290.DP.01</v>
          </cell>
          <cell r="D450" t="str">
            <v>Desenho De Projeto</v>
          </cell>
          <cell r="E450" t="str">
            <v>10 dias</v>
          </cell>
          <cell r="F450" t="str">
            <v>NA</v>
          </cell>
          <cell r="G450">
            <v>39010.333333333336</v>
          </cell>
          <cell r="H450" t="str">
            <v>NA</v>
          </cell>
          <cell r="I450" t="str">
            <v>NA</v>
          </cell>
          <cell r="J450">
            <v>39027.729166666664</v>
          </cell>
          <cell r="K450" t="str">
            <v>NA</v>
          </cell>
          <cell r="L450">
            <v>0.35</v>
          </cell>
          <cell r="M450">
            <v>8</v>
          </cell>
          <cell r="N450">
            <v>0</v>
          </cell>
          <cell r="O450">
            <v>0</v>
          </cell>
          <cell r="P450">
            <v>0</v>
          </cell>
          <cell r="Q450">
            <v>438</v>
          </cell>
          <cell r="R450" t="str">
            <v>449;450II</v>
          </cell>
          <cell r="S450" t="str">
            <v>EQUIPE MET</v>
          </cell>
          <cell r="T450">
            <v>39027</v>
          </cell>
        </row>
        <row r="451">
          <cell r="B451" t="str">
            <v>DD.290.LM.01</v>
          </cell>
          <cell r="D451" t="str">
            <v>Lista De Materiais</v>
          </cell>
          <cell r="E451" t="str">
            <v>1 dia</v>
          </cell>
          <cell r="F451" t="str">
            <v>NA</v>
          </cell>
          <cell r="G451">
            <v>39028.333333333336</v>
          </cell>
          <cell r="H451" t="str">
            <v>NA</v>
          </cell>
          <cell r="I451" t="str">
            <v>NA</v>
          </cell>
          <cell r="J451">
            <v>39028.729166666664</v>
          </cell>
          <cell r="K451" t="str">
            <v>NA</v>
          </cell>
          <cell r="L451">
            <v>0.01</v>
          </cell>
          <cell r="M451">
            <v>0.25</v>
          </cell>
          <cell r="N451">
            <v>0</v>
          </cell>
          <cell r="O451">
            <v>0</v>
          </cell>
          <cell r="P451">
            <v>0</v>
          </cell>
          <cell r="Q451">
            <v>448</v>
          </cell>
          <cell r="S451" t="str">
            <v>EQUIPE MET</v>
          </cell>
          <cell r="T451">
            <v>39028</v>
          </cell>
        </row>
        <row r="452">
          <cell r="B452" t="str">
            <v>DD.290.MC.01</v>
          </cell>
          <cell r="D452" t="str">
            <v>Memória De Cálculo</v>
          </cell>
          <cell r="E452" t="str">
            <v>20 dias</v>
          </cell>
          <cell r="F452" t="str">
            <v>NA</v>
          </cell>
          <cell r="G452">
            <v>39010.333333333336</v>
          </cell>
          <cell r="H452" t="str">
            <v>NA</v>
          </cell>
          <cell r="I452" t="str">
            <v>NA</v>
          </cell>
          <cell r="J452">
            <v>39042.729166666664</v>
          </cell>
          <cell r="K452" t="str">
            <v>NA</v>
          </cell>
          <cell r="L452">
            <v>1.07</v>
          </cell>
          <cell r="M452">
            <v>24.38</v>
          </cell>
          <cell r="N452">
            <v>0</v>
          </cell>
          <cell r="O452">
            <v>0</v>
          </cell>
          <cell r="P452">
            <v>0</v>
          </cell>
          <cell r="Q452" t="str">
            <v>448II</v>
          </cell>
          <cell r="S452" t="str">
            <v>EQUIPE MET</v>
          </cell>
          <cell r="T452">
            <v>39042</v>
          </cell>
        </row>
        <row r="453">
          <cell r="D453" t="str">
            <v>Elétrica</v>
          </cell>
          <cell r="E453" t="str">
            <v>11 dias</v>
          </cell>
          <cell r="F453" t="str">
            <v>NA</v>
          </cell>
          <cell r="G453">
            <v>39048.333333333336</v>
          </cell>
          <cell r="H453" t="str">
            <v>NA</v>
          </cell>
          <cell r="I453" t="str">
            <v>NA</v>
          </cell>
          <cell r="J453">
            <v>39062.729166666664</v>
          </cell>
          <cell r="K453" t="str">
            <v>NA</v>
          </cell>
          <cell r="L453">
            <v>0.39</v>
          </cell>
          <cell r="M453">
            <v>9</v>
          </cell>
          <cell r="N453">
            <v>0</v>
          </cell>
          <cell r="O453">
            <v>0</v>
          </cell>
          <cell r="P453">
            <v>0</v>
          </cell>
          <cell r="T453">
            <v>39062</v>
          </cell>
        </row>
        <row r="454">
          <cell r="D454" t="str">
            <v>Desenho De Detalhamento</v>
          </cell>
          <cell r="E454" t="str">
            <v>11 dias</v>
          </cell>
          <cell r="F454" t="str">
            <v>NA</v>
          </cell>
          <cell r="G454">
            <v>39048.333333333336</v>
          </cell>
          <cell r="H454" t="str">
            <v>NA</v>
          </cell>
          <cell r="I454" t="str">
            <v>NA</v>
          </cell>
          <cell r="J454">
            <v>39062.729166666664</v>
          </cell>
          <cell r="K454" t="str">
            <v>NA</v>
          </cell>
          <cell r="L454">
            <v>0.39</v>
          </cell>
          <cell r="M454">
            <v>9</v>
          </cell>
          <cell r="N454">
            <v>0</v>
          </cell>
          <cell r="O454">
            <v>0</v>
          </cell>
          <cell r="P454">
            <v>0</v>
          </cell>
          <cell r="T454">
            <v>39062</v>
          </cell>
        </row>
        <row r="455">
          <cell r="B455" t="str">
            <v>DE.290.DD.01</v>
          </cell>
          <cell r="D455" t="str">
            <v>Malha Aterramento/ Projeto SE</v>
          </cell>
          <cell r="E455" t="str">
            <v>9 dias</v>
          </cell>
          <cell r="F455" t="str">
            <v>NA</v>
          </cell>
          <cell r="G455">
            <v>39048.333333333336</v>
          </cell>
          <cell r="H455" t="str">
            <v>NA</v>
          </cell>
          <cell r="I455" t="str">
            <v>NA</v>
          </cell>
          <cell r="J455">
            <v>39058.729166666664</v>
          </cell>
          <cell r="K455" t="str">
            <v>NA</v>
          </cell>
          <cell r="L455">
            <v>0.17</v>
          </cell>
          <cell r="M455">
            <v>4</v>
          </cell>
          <cell r="N455">
            <v>0</v>
          </cell>
          <cell r="O455">
            <v>0</v>
          </cell>
          <cell r="P455">
            <v>0</v>
          </cell>
          <cell r="Q455" t="str">
            <v>445;446II+35 dias</v>
          </cell>
          <cell r="R455" t="str">
            <v>454II</v>
          </cell>
          <cell r="S455" t="str">
            <v>EQUIPE ELE</v>
          </cell>
          <cell r="T455">
            <v>39058</v>
          </cell>
        </row>
        <row r="456">
          <cell r="B456" t="str">
            <v>DE.290.DD.02</v>
          </cell>
          <cell r="D456" t="str">
            <v>Iluminação</v>
          </cell>
          <cell r="E456" t="str">
            <v>11 dias</v>
          </cell>
          <cell r="F456" t="str">
            <v>NA</v>
          </cell>
          <cell r="G456">
            <v>39048.333333333336</v>
          </cell>
          <cell r="H456" t="str">
            <v>NA</v>
          </cell>
          <cell r="I456" t="str">
            <v>NA</v>
          </cell>
          <cell r="J456">
            <v>39062.729166666664</v>
          </cell>
          <cell r="K456" t="str">
            <v>NA</v>
          </cell>
          <cell r="L456">
            <v>0.22</v>
          </cell>
          <cell r="M456">
            <v>5</v>
          </cell>
          <cell r="N456">
            <v>0</v>
          </cell>
          <cell r="O456">
            <v>0</v>
          </cell>
          <cell r="P456">
            <v>0</v>
          </cell>
          <cell r="Q456" t="str">
            <v>453II</v>
          </cell>
          <cell r="S456" t="str">
            <v>EQUIPE ELE</v>
          </cell>
          <cell r="T456">
            <v>39062</v>
          </cell>
        </row>
        <row r="457">
          <cell r="D457" t="str">
            <v>Instrumentação</v>
          </cell>
          <cell r="E457" t="str">
            <v>8 dias</v>
          </cell>
          <cell r="F457" t="str">
            <v>NA</v>
          </cell>
          <cell r="G457">
            <v>39038.333333333336</v>
          </cell>
          <cell r="H457" t="str">
            <v>NA</v>
          </cell>
          <cell r="I457" t="str">
            <v>NA</v>
          </cell>
          <cell r="J457">
            <v>39049.729166666664</v>
          </cell>
          <cell r="K457" t="str">
            <v>NA</v>
          </cell>
          <cell r="L457">
            <v>0.09</v>
          </cell>
          <cell r="M457">
            <v>2</v>
          </cell>
          <cell r="N457">
            <v>0</v>
          </cell>
          <cell r="O457">
            <v>0</v>
          </cell>
          <cell r="P457">
            <v>0</v>
          </cell>
          <cell r="T457">
            <v>39049</v>
          </cell>
        </row>
        <row r="458">
          <cell r="B458" t="str">
            <v>DT.290.AJ.01</v>
          </cell>
          <cell r="D458" t="str">
            <v>Arranjos/ Layout’s/ Plano Diretor - Locação De Instrumentos</v>
          </cell>
          <cell r="E458" t="str">
            <v>8 dias</v>
          </cell>
          <cell r="F458" t="str">
            <v>NA</v>
          </cell>
          <cell r="G458">
            <v>39038.333333333336</v>
          </cell>
          <cell r="H458" t="str">
            <v>NA</v>
          </cell>
          <cell r="I458" t="str">
            <v>NA</v>
          </cell>
          <cell r="J458">
            <v>39049.729166666664</v>
          </cell>
          <cell r="K458" t="str">
            <v>NA</v>
          </cell>
          <cell r="L458">
            <v>0.09</v>
          </cell>
          <cell r="M458">
            <v>2</v>
          </cell>
          <cell r="N458">
            <v>0</v>
          </cell>
          <cell r="O458">
            <v>0</v>
          </cell>
          <cell r="P458">
            <v>0</v>
          </cell>
          <cell r="Q458">
            <v>302</v>
          </cell>
          <cell r="S458" t="str">
            <v>EQUIPE TSA</v>
          </cell>
          <cell r="T458">
            <v>39049</v>
          </cell>
        </row>
        <row r="459">
          <cell r="B459" t="str">
            <v>1.2</v>
          </cell>
          <cell r="C459" t="str">
            <v>300A</v>
          </cell>
          <cell r="D459" t="str">
            <v>APOIO OPERACIONAL</v>
          </cell>
          <cell r="E459" t="str">
            <v>117 dias</v>
          </cell>
          <cell r="F459">
            <v>38819.375</v>
          </cell>
          <cell r="G459">
            <v>38891.333333333336</v>
          </cell>
          <cell r="H459">
            <v>38891.333333333336</v>
          </cell>
          <cell r="I459">
            <v>38916.375</v>
          </cell>
          <cell r="J459">
            <v>39066.729166666664</v>
          </cell>
          <cell r="K459" t="str">
            <v>NA</v>
          </cell>
          <cell r="L459">
            <v>3.4</v>
          </cell>
          <cell r="M459">
            <v>77.88</v>
          </cell>
          <cell r="N459">
            <v>5.48</v>
          </cell>
          <cell r="O459">
            <v>7.03</v>
          </cell>
          <cell r="P459">
            <v>7.03</v>
          </cell>
          <cell r="T459">
            <v>39066</v>
          </cell>
        </row>
        <row r="460">
          <cell r="B460" t="str">
            <v>1.2.1</v>
          </cell>
          <cell r="C460" t="str">
            <v>305A</v>
          </cell>
          <cell r="D460" t="str">
            <v>Geral</v>
          </cell>
          <cell r="E460" t="str">
            <v>23 dias</v>
          </cell>
          <cell r="F460" t="str">
            <v>NA</v>
          </cell>
          <cell r="G460">
            <v>38891.333333333336</v>
          </cell>
          <cell r="H460">
            <v>38891.333333333336</v>
          </cell>
          <cell r="I460" t="str">
            <v>NA</v>
          </cell>
          <cell r="J460">
            <v>38923.729166666664</v>
          </cell>
          <cell r="K460" t="str">
            <v>NA</v>
          </cell>
          <cell r="L460">
            <v>0.26</v>
          </cell>
          <cell r="M460">
            <v>6</v>
          </cell>
          <cell r="N460">
            <v>5.48</v>
          </cell>
          <cell r="O460">
            <v>0</v>
          </cell>
          <cell r="P460">
            <v>91.25</v>
          </cell>
          <cell r="T460">
            <v>38923</v>
          </cell>
        </row>
        <row r="461">
          <cell r="D461" t="str">
            <v>Projeto Básico</v>
          </cell>
          <cell r="E461" t="str">
            <v>23 dias</v>
          </cell>
          <cell r="F461" t="str">
            <v>NA</v>
          </cell>
          <cell r="G461">
            <v>38891.333333333336</v>
          </cell>
          <cell r="H461">
            <v>38891.333333333336</v>
          </cell>
          <cell r="I461" t="str">
            <v>NA</v>
          </cell>
          <cell r="J461">
            <v>38923.729166666664</v>
          </cell>
          <cell r="K461" t="str">
            <v>NA</v>
          </cell>
          <cell r="L461">
            <v>0.26</v>
          </cell>
          <cell r="M461">
            <v>6</v>
          </cell>
          <cell r="N461">
            <v>5.48</v>
          </cell>
          <cell r="O461">
            <v>0</v>
          </cell>
          <cell r="P461">
            <v>91.25</v>
          </cell>
          <cell r="T461">
            <v>38923</v>
          </cell>
        </row>
        <row r="462">
          <cell r="D462" t="str">
            <v>Mecânica</v>
          </cell>
          <cell r="E462" t="str">
            <v>9 dias</v>
          </cell>
          <cell r="F462" t="str">
            <v>NA</v>
          </cell>
          <cell r="G462">
            <v>38891.333333333336</v>
          </cell>
          <cell r="H462">
            <v>38891.333333333336</v>
          </cell>
          <cell r="I462" t="str">
            <v>NA</v>
          </cell>
          <cell r="J462">
            <v>38903.729166666664</v>
          </cell>
          <cell r="K462" t="str">
            <v>NA</v>
          </cell>
          <cell r="L462">
            <v>0.16</v>
          </cell>
          <cell r="M462">
            <v>3.63</v>
          </cell>
          <cell r="N462">
            <v>3.26</v>
          </cell>
          <cell r="O462">
            <v>0</v>
          </cell>
          <cell r="P462">
            <v>90</v>
          </cell>
          <cell r="T462">
            <v>38903</v>
          </cell>
        </row>
        <row r="463">
          <cell r="B463" t="str">
            <v>BB.305.OI.01</v>
          </cell>
          <cell r="D463" t="str">
            <v>Orçamento De Investimentos</v>
          </cell>
          <cell r="E463" t="str">
            <v>9 dias</v>
          </cell>
          <cell r="F463" t="str">
            <v>NA</v>
          </cell>
          <cell r="G463">
            <v>38891.333333333336</v>
          </cell>
          <cell r="H463">
            <v>38891.333333333336</v>
          </cell>
          <cell r="I463" t="str">
            <v>NA</v>
          </cell>
          <cell r="J463">
            <v>38903.729166666664</v>
          </cell>
          <cell r="K463" t="str">
            <v>NA</v>
          </cell>
          <cell r="L463">
            <v>0.16</v>
          </cell>
          <cell r="M463">
            <v>3.63</v>
          </cell>
          <cell r="N463">
            <v>3.26</v>
          </cell>
          <cell r="O463">
            <v>0</v>
          </cell>
          <cell r="P463">
            <v>90</v>
          </cell>
          <cell r="Q463" t="str">
            <v>34II</v>
          </cell>
          <cell r="S463" t="str">
            <v>EQUIPE MEC</v>
          </cell>
          <cell r="T463">
            <v>38903</v>
          </cell>
        </row>
        <row r="464">
          <cell r="D464" t="str">
            <v>Civil</v>
          </cell>
          <cell r="E464" t="str">
            <v>5 dias</v>
          </cell>
          <cell r="F464" t="str">
            <v>NA</v>
          </cell>
          <cell r="G464">
            <v>38917.333333333336</v>
          </cell>
          <cell r="H464">
            <v>38917.333333333336</v>
          </cell>
          <cell r="I464" t="str">
            <v>NA</v>
          </cell>
          <cell r="J464">
            <v>38923.729166666664</v>
          </cell>
          <cell r="K464" t="str">
            <v>NA</v>
          </cell>
          <cell r="L464">
            <v>0.1</v>
          </cell>
          <cell r="M464">
            <v>2.38</v>
          </cell>
          <cell r="N464">
            <v>2.21</v>
          </cell>
          <cell r="O464">
            <v>0</v>
          </cell>
          <cell r="P464">
            <v>93.16</v>
          </cell>
          <cell r="T464">
            <v>38923</v>
          </cell>
        </row>
        <row r="465">
          <cell r="B465" t="str">
            <v>BC.305.PQ.01</v>
          </cell>
          <cell r="D465" t="str">
            <v>Planilha De Quantitativos - Arquitetura</v>
          </cell>
          <cell r="E465" t="str">
            <v>5 dias</v>
          </cell>
          <cell r="F465" t="str">
            <v>NA</v>
          </cell>
          <cell r="G465">
            <v>38917.333333333336</v>
          </cell>
          <cell r="H465">
            <v>38917.333333333336</v>
          </cell>
          <cell r="I465" t="str">
            <v>NA</v>
          </cell>
          <cell r="J465">
            <v>38923.729166666664</v>
          </cell>
          <cell r="K465" t="str">
            <v>NA</v>
          </cell>
          <cell r="L465">
            <v>0.1</v>
          </cell>
          <cell r="M465">
            <v>2.38</v>
          </cell>
          <cell r="N465">
            <v>2.21</v>
          </cell>
          <cell r="O465">
            <v>0</v>
          </cell>
          <cell r="P465">
            <v>93.16</v>
          </cell>
          <cell r="Q465">
            <v>16</v>
          </cell>
          <cell r="S465" t="str">
            <v>EQUIPE CIV</v>
          </cell>
          <cell r="T465">
            <v>38923</v>
          </cell>
        </row>
        <row r="466">
          <cell r="B466" t="str">
            <v>1.2.2</v>
          </cell>
          <cell r="C466" t="str">
            <v>310A</v>
          </cell>
          <cell r="D466" t="str">
            <v>Oficina de Manutenção</v>
          </cell>
          <cell r="E466" t="str">
            <v>44 dias</v>
          </cell>
          <cell r="F466" t="str">
            <v>NA</v>
          </cell>
          <cell r="G466">
            <v>38995.333333333336</v>
          </cell>
          <cell r="H466" t="str">
            <v>NA</v>
          </cell>
          <cell r="I466" t="str">
            <v>NA</v>
          </cell>
          <cell r="J466">
            <v>39063.729166666664</v>
          </cell>
          <cell r="K466" t="str">
            <v>NA</v>
          </cell>
          <cell r="L466">
            <v>1.41</v>
          </cell>
          <cell r="M466">
            <v>32.25</v>
          </cell>
          <cell r="N466">
            <v>0</v>
          </cell>
          <cell r="O466">
            <v>0</v>
          </cell>
          <cell r="P466">
            <v>0</v>
          </cell>
          <cell r="T466">
            <v>39063</v>
          </cell>
        </row>
        <row r="467">
          <cell r="D467" t="str">
            <v>Projeto Básico</v>
          </cell>
          <cell r="E467" t="str">
            <v>5 dias</v>
          </cell>
          <cell r="F467" t="str">
            <v>NA</v>
          </cell>
          <cell r="G467">
            <v>38995.333333333336</v>
          </cell>
          <cell r="H467" t="str">
            <v>NA</v>
          </cell>
          <cell r="I467" t="str">
            <v>NA</v>
          </cell>
          <cell r="J467">
            <v>39001.729166666664</v>
          </cell>
          <cell r="K467" t="str">
            <v>NA</v>
          </cell>
          <cell r="L467">
            <v>0.22</v>
          </cell>
          <cell r="M467">
            <v>5</v>
          </cell>
          <cell r="N467">
            <v>0</v>
          </cell>
          <cell r="O467">
            <v>0</v>
          </cell>
          <cell r="P467">
            <v>0</v>
          </cell>
          <cell r="T467">
            <v>39001</v>
          </cell>
        </row>
        <row r="468">
          <cell r="D468" t="str">
            <v>Estrutura Metálica</v>
          </cell>
          <cell r="E468" t="str">
            <v>5 dias</v>
          </cell>
          <cell r="F468" t="str">
            <v>NA</v>
          </cell>
          <cell r="G468">
            <v>38995.333333333336</v>
          </cell>
          <cell r="H468" t="str">
            <v>NA</v>
          </cell>
          <cell r="I468" t="str">
            <v>NA</v>
          </cell>
          <cell r="J468">
            <v>39001.729166666664</v>
          </cell>
          <cell r="K468" t="str">
            <v>NA</v>
          </cell>
          <cell r="L468">
            <v>0.22</v>
          </cell>
          <cell r="M468">
            <v>5</v>
          </cell>
          <cell r="N468">
            <v>0</v>
          </cell>
          <cell r="O468">
            <v>0</v>
          </cell>
          <cell r="P468">
            <v>0</v>
          </cell>
          <cell r="T468">
            <v>39001</v>
          </cell>
        </row>
        <row r="469">
          <cell r="B469" t="str">
            <v>BD.310.MC.01</v>
          </cell>
          <cell r="D469" t="str">
            <v>Memória De Cálculo</v>
          </cell>
          <cell r="E469" t="str">
            <v>5 dias</v>
          </cell>
          <cell r="F469" t="str">
            <v>NA</v>
          </cell>
          <cell r="G469">
            <v>38995.333333333336</v>
          </cell>
          <cell r="H469" t="str">
            <v>NA</v>
          </cell>
          <cell r="I469" t="str">
            <v>NA</v>
          </cell>
          <cell r="J469">
            <v>39001.729166666664</v>
          </cell>
          <cell r="K469" t="str">
            <v>NA</v>
          </cell>
          <cell r="L469">
            <v>0.22</v>
          </cell>
          <cell r="M469">
            <v>5</v>
          </cell>
          <cell r="N469">
            <v>0</v>
          </cell>
          <cell r="O469">
            <v>0</v>
          </cell>
          <cell r="P469">
            <v>0</v>
          </cell>
          <cell r="Q469" t="str">
            <v>433TI+20 dias</v>
          </cell>
          <cell r="R469">
            <v>629</v>
          </cell>
          <cell r="S469" t="str">
            <v>EQUIPE MET</v>
          </cell>
          <cell r="T469">
            <v>39001</v>
          </cell>
        </row>
        <row r="470">
          <cell r="D470" t="str">
            <v>Projeto Detalhado</v>
          </cell>
          <cell r="E470" t="str">
            <v>37 dias</v>
          </cell>
          <cell r="F470">
            <v>38839.333333333336</v>
          </cell>
          <cell r="G470">
            <v>39008.333333333336</v>
          </cell>
          <cell r="H470" t="str">
            <v>NA</v>
          </cell>
          <cell r="I470">
            <v>38896.729166666664</v>
          </cell>
          <cell r="J470">
            <v>39063.729166666664</v>
          </cell>
          <cell r="K470" t="str">
            <v>NA</v>
          </cell>
          <cell r="L470">
            <v>1.19</v>
          </cell>
          <cell r="M470">
            <v>27.25</v>
          </cell>
          <cell r="N470">
            <v>0</v>
          </cell>
          <cell r="O470">
            <v>0</v>
          </cell>
          <cell r="P470">
            <v>0</v>
          </cell>
          <cell r="T470">
            <v>39063</v>
          </cell>
        </row>
        <row r="471">
          <cell r="D471" t="str">
            <v>Civil</v>
          </cell>
          <cell r="E471" t="str">
            <v>18 dias</v>
          </cell>
          <cell r="F471">
            <v>38839.333333333336</v>
          </cell>
          <cell r="G471">
            <v>39008.333333333336</v>
          </cell>
          <cell r="H471" t="str">
            <v>NA</v>
          </cell>
          <cell r="I471">
            <v>38859.729166666664</v>
          </cell>
          <cell r="J471">
            <v>39035.729166666664</v>
          </cell>
          <cell r="K471" t="str">
            <v>NA</v>
          </cell>
          <cell r="L471">
            <v>0.66</v>
          </cell>
          <cell r="M471">
            <v>15</v>
          </cell>
          <cell r="N471">
            <v>0</v>
          </cell>
          <cell r="O471">
            <v>0</v>
          </cell>
          <cell r="P471">
            <v>0</v>
          </cell>
          <cell r="T471">
            <v>39035</v>
          </cell>
        </row>
        <row r="472">
          <cell r="D472" t="str">
            <v>Desenho De Detalhamento</v>
          </cell>
          <cell r="E472" t="str">
            <v>18 dias</v>
          </cell>
          <cell r="F472">
            <v>38839.333333333336</v>
          </cell>
          <cell r="G472">
            <v>39008.333333333336</v>
          </cell>
          <cell r="H472" t="str">
            <v>NA</v>
          </cell>
          <cell r="I472">
            <v>38859.729166666664</v>
          </cell>
          <cell r="J472">
            <v>39035.729166666664</v>
          </cell>
          <cell r="K472" t="str">
            <v>NA</v>
          </cell>
          <cell r="L472">
            <v>0.66</v>
          </cell>
          <cell r="M472">
            <v>15</v>
          </cell>
          <cell r="N472">
            <v>0</v>
          </cell>
          <cell r="O472">
            <v>0</v>
          </cell>
          <cell r="P472">
            <v>0</v>
          </cell>
          <cell r="R472" t="str">
            <v>476;477</v>
          </cell>
          <cell r="T472">
            <v>39035</v>
          </cell>
        </row>
        <row r="473">
          <cell r="B473" t="str">
            <v>DC.310.DD.01</v>
          </cell>
          <cell r="D473" t="str">
            <v>Arquitetura</v>
          </cell>
          <cell r="E473" t="str">
            <v>10 dias</v>
          </cell>
          <cell r="F473">
            <v>38839.333333333336</v>
          </cell>
          <cell r="G473">
            <v>39008.333333333336</v>
          </cell>
          <cell r="H473" t="str">
            <v>NA</v>
          </cell>
          <cell r="I473">
            <v>38853.729166666664</v>
          </cell>
          <cell r="J473">
            <v>39021.729166666664</v>
          </cell>
          <cell r="K473" t="str">
            <v>NA</v>
          </cell>
          <cell r="L473">
            <v>0.31</v>
          </cell>
          <cell r="M473">
            <v>7</v>
          </cell>
          <cell r="N473">
            <v>0</v>
          </cell>
          <cell r="O473">
            <v>0</v>
          </cell>
          <cell r="P473">
            <v>0</v>
          </cell>
          <cell r="Q473" t="str">
            <v>26;445</v>
          </cell>
          <cell r="R473" t="str">
            <v>472;473;496;519;535;542;565</v>
          </cell>
          <cell r="S473" t="str">
            <v>EQUIPE ARQ</v>
          </cell>
          <cell r="T473">
            <v>39021</v>
          </cell>
        </row>
        <row r="474">
          <cell r="B474" t="str">
            <v>DC.310.DD.02</v>
          </cell>
          <cell r="D474" t="str">
            <v>Fundação</v>
          </cell>
          <cell r="E474" t="str">
            <v>8 dias</v>
          </cell>
          <cell r="F474">
            <v>38839.333333333336</v>
          </cell>
          <cell r="G474">
            <v>39022.333333333336</v>
          </cell>
          <cell r="H474" t="str">
            <v>NA</v>
          </cell>
          <cell r="I474">
            <v>38849.729166666664</v>
          </cell>
          <cell r="J474">
            <v>39035.729166666664</v>
          </cell>
          <cell r="K474" t="str">
            <v>NA</v>
          </cell>
          <cell r="L474">
            <v>0.22</v>
          </cell>
          <cell r="M474">
            <v>5</v>
          </cell>
          <cell r="N474">
            <v>0</v>
          </cell>
          <cell r="O474">
            <v>0</v>
          </cell>
          <cell r="P474">
            <v>0</v>
          </cell>
          <cell r="Q474">
            <v>471</v>
          </cell>
          <cell r="R474">
            <v>484</v>
          </cell>
          <cell r="S474" t="str">
            <v>EQUIPE CIV</v>
          </cell>
          <cell r="T474">
            <v>39035</v>
          </cell>
        </row>
        <row r="475">
          <cell r="B475" t="str">
            <v>DC.310.DD.03</v>
          </cell>
          <cell r="D475" t="str">
            <v>Hidráulica</v>
          </cell>
          <cell r="E475" t="str">
            <v>6 dias</v>
          </cell>
          <cell r="F475">
            <v>38849.333333333336</v>
          </cell>
          <cell r="G475">
            <v>39022.333333333336</v>
          </cell>
          <cell r="H475" t="str">
            <v>NA</v>
          </cell>
          <cell r="I475">
            <v>38859.729166666664</v>
          </cell>
          <cell r="J475">
            <v>39031.729166666664</v>
          </cell>
          <cell r="K475" t="str">
            <v>NA</v>
          </cell>
          <cell r="L475">
            <v>0.13</v>
          </cell>
          <cell r="M475">
            <v>3</v>
          </cell>
          <cell r="N475">
            <v>0</v>
          </cell>
          <cell r="O475">
            <v>0</v>
          </cell>
          <cell r="P475">
            <v>0</v>
          </cell>
          <cell r="Q475">
            <v>471</v>
          </cell>
          <cell r="S475" t="str">
            <v>EQUIPE CIV</v>
          </cell>
          <cell r="T475">
            <v>39031</v>
          </cell>
        </row>
        <row r="476">
          <cell r="D476" t="str">
            <v>Elétrica</v>
          </cell>
          <cell r="E476" t="str">
            <v>19 dias</v>
          </cell>
          <cell r="F476">
            <v>38859.375</v>
          </cell>
          <cell r="G476">
            <v>39037.333333333336</v>
          </cell>
          <cell r="H476" t="str">
            <v>NA</v>
          </cell>
          <cell r="I476">
            <v>38896.729166666664</v>
          </cell>
          <cell r="J476">
            <v>39063.729166666664</v>
          </cell>
          <cell r="K476" t="str">
            <v>NA</v>
          </cell>
          <cell r="L476">
            <v>0.54</v>
          </cell>
          <cell r="M476">
            <v>12.25</v>
          </cell>
          <cell r="N476">
            <v>0</v>
          </cell>
          <cell r="O476">
            <v>0</v>
          </cell>
          <cell r="P476">
            <v>0</v>
          </cell>
          <cell r="T476">
            <v>39063</v>
          </cell>
        </row>
        <row r="477">
          <cell r="D477" t="str">
            <v>Desenho De Detalhamento</v>
          </cell>
          <cell r="E477" t="str">
            <v>15 dias</v>
          </cell>
          <cell r="F477">
            <v>38859.375</v>
          </cell>
          <cell r="G477">
            <v>39037.333333333336</v>
          </cell>
          <cell r="H477" t="str">
            <v>NA</v>
          </cell>
          <cell r="I477">
            <v>38880.729166666664</v>
          </cell>
          <cell r="J477">
            <v>39057.729166666664</v>
          </cell>
          <cell r="K477" t="str">
            <v>NA</v>
          </cell>
          <cell r="L477">
            <v>0.48</v>
          </cell>
          <cell r="M477">
            <v>11</v>
          </cell>
          <cell r="N477">
            <v>0</v>
          </cell>
          <cell r="O477">
            <v>0</v>
          </cell>
          <cell r="P477">
            <v>0</v>
          </cell>
          <cell r="R477">
            <v>479</v>
          </cell>
          <cell r="T477">
            <v>39057</v>
          </cell>
        </row>
        <row r="478">
          <cell r="B478" t="str">
            <v>DE.310.DD.01</v>
          </cell>
          <cell r="D478" t="str">
            <v>Disposição De Força, Controle e Aterramento</v>
          </cell>
          <cell r="E478" t="str">
            <v>6 dias</v>
          </cell>
          <cell r="F478">
            <v>38859.375</v>
          </cell>
          <cell r="G478">
            <v>39037.333333333336</v>
          </cell>
          <cell r="H478" t="str">
            <v>NA</v>
          </cell>
          <cell r="I478">
            <v>38867.729166666664</v>
          </cell>
          <cell r="J478">
            <v>39044.729166666664</v>
          </cell>
          <cell r="K478" t="str">
            <v>NA</v>
          </cell>
          <cell r="L478">
            <v>0.09</v>
          </cell>
          <cell r="M478">
            <v>2</v>
          </cell>
          <cell r="N478">
            <v>0</v>
          </cell>
          <cell r="O478">
            <v>0</v>
          </cell>
          <cell r="P478">
            <v>0</v>
          </cell>
          <cell r="Q478">
            <v>470</v>
          </cell>
          <cell r="R478">
            <v>478</v>
          </cell>
          <cell r="S478" t="str">
            <v>EQUIPE ELE</v>
          </cell>
          <cell r="T478">
            <v>39044</v>
          </cell>
        </row>
        <row r="479">
          <cell r="B479" t="str">
            <v>DE.310.DD.02</v>
          </cell>
          <cell r="D479" t="str">
            <v>Iluminação</v>
          </cell>
          <cell r="E479" t="str">
            <v>15 dias</v>
          </cell>
          <cell r="F479">
            <v>38859.375</v>
          </cell>
          <cell r="G479">
            <v>39037.333333333336</v>
          </cell>
          <cell r="H479" t="str">
            <v>NA</v>
          </cell>
          <cell r="I479">
            <v>38880.729166666664</v>
          </cell>
          <cell r="J479">
            <v>39057.729166666664</v>
          </cell>
          <cell r="K479" t="str">
            <v>NA</v>
          </cell>
          <cell r="L479">
            <v>0.31</v>
          </cell>
          <cell r="M479">
            <v>7</v>
          </cell>
          <cell r="N479">
            <v>0</v>
          </cell>
          <cell r="O479">
            <v>0</v>
          </cell>
          <cell r="P479">
            <v>0</v>
          </cell>
          <cell r="Q479">
            <v>470</v>
          </cell>
          <cell r="S479" t="str">
            <v>EQUIPE ELE</v>
          </cell>
          <cell r="T479">
            <v>39057</v>
          </cell>
        </row>
        <row r="480">
          <cell r="B480" t="str">
            <v>DE.310.DD.03</v>
          </cell>
          <cell r="D480" t="str">
            <v>Eletrodutos</v>
          </cell>
          <cell r="E480" t="str">
            <v>6 dias</v>
          </cell>
          <cell r="F480">
            <v>38867.375</v>
          </cell>
          <cell r="G480">
            <v>39045.333333333336</v>
          </cell>
          <cell r="H480" t="str">
            <v>NA</v>
          </cell>
          <cell r="I480">
            <v>38875.729166666664</v>
          </cell>
          <cell r="J480">
            <v>39052.729166666664</v>
          </cell>
          <cell r="K480" t="str">
            <v>NA</v>
          </cell>
          <cell r="L480">
            <v>0.09</v>
          </cell>
          <cell r="M480">
            <v>2</v>
          </cell>
          <cell r="N480">
            <v>0</v>
          </cell>
          <cell r="O480">
            <v>0</v>
          </cell>
          <cell r="P480">
            <v>0</v>
          </cell>
          <cell r="Q480">
            <v>476</v>
          </cell>
          <cell r="S480" t="str">
            <v>EQUIPE ELE</v>
          </cell>
          <cell r="T480">
            <v>39052</v>
          </cell>
        </row>
        <row r="481">
          <cell r="B481" t="str">
            <v>DE.310.LC.01</v>
          </cell>
          <cell r="D481" t="str">
            <v>Lista De Linhas/ Cabos</v>
          </cell>
          <cell r="E481" t="str">
            <v>4 dias</v>
          </cell>
          <cell r="F481">
            <v>38880.375</v>
          </cell>
          <cell r="G481">
            <v>39058.333333333336</v>
          </cell>
          <cell r="H481" t="str">
            <v>NA</v>
          </cell>
          <cell r="I481">
            <v>38888.729166666664</v>
          </cell>
          <cell r="J481">
            <v>39063.729166666664</v>
          </cell>
          <cell r="K481" t="str">
            <v>NA</v>
          </cell>
          <cell r="L481">
            <v>0.05</v>
          </cell>
          <cell r="M481">
            <v>1.25</v>
          </cell>
          <cell r="N481">
            <v>0</v>
          </cell>
          <cell r="O481">
            <v>0</v>
          </cell>
          <cell r="P481">
            <v>0</v>
          </cell>
          <cell r="Q481">
            <v>475</v>
          </cell>
          <cell r="S481" t="str">
            <v>EQUIPE ELE</v>
          </cell>
          <cell r="T481">
            <v>39063</v>
          </cell>
        </row>
        <row r="482">
          <cell r="B482" t="str">
            <v>1.2.3</v>
          </cell>
          <cell r="C482" t="str">
            <v>320A</v>
          </cell>
          <cell r="D482" t="str">
            <v>Almoxarifado</v>
          </cell>
          <cell r="E482" t="str">
            <v>22 dias</v>
          </cell>
          <cell r="F482">
            <v>38831.375</v>
          </cell>
          <cell r="G482">
            <v>39037.333333333336</v>
          </cell>
          <cell r="H482" t="str">
            <v>NA</v>
          </cell>
          <cell r="I482">
            <v>38916.375</v>
          </cell>
          <cell r="J482">
            <v>39066.729166666664</v>
          </cell>
          <cell r="K482" t="str">
            <v>NA</v>
          </cell>
          <cell r="L482">
            <v>0.75</v>
          </cell>
          <cell r="M482">
            <v>17.25</v>
          </cell>
          <cell r="N482">
            <v>0</v>
          </cell>
          <cell r="O482">
            <v>0</v>
          </cell>
          <cell r="P482">
            <v>0</v>
          </cell>
          <cell r="T482">
            <v>39066</v>
          </cell>
        </row>
        <row r="483">
          <cell r="D483" t="str">
            <v>Projeto Detalhado</v>
          </cell>
          <cell r="E483" t="str">
            <v>22 dias</v>
          </cell>
          <cell r="F483">
            <v>38846.375</v>
          </cell>
          <cell r="G483">
            <v>39037.333333333336</v>
          </cell>
          <cell r="H483" t="str">
            <v>NA</v>
          </cell>
          <cell r="I483">
            <v>38916.375</v>
          </cell>
          <cell r="J483">
            <v>39066.729166666664</v>
          </cell>
          <cell r="K483" t="str">
            <v>NA</v>
          </cell>
          <cell r="L483">
            <v>0.75</v>
          </cell>
          <cell r="M483">
            <v>17.25</v>
          </cell>
          <cell r="N483">
            <v>0</v>
          </cell>
          <cell r="O483">
            <v>0</v>
          </cell>
          <cell r="P483">
            <v>0</v>
          </cell>
          <cell r="T483">
            <v>39066</v>
          </cell>
        </row>
        <row r="484">
          <cell r="D484" t="str">
            <v>Civil</v>
          </cell>
          <cell r="E484" t="str">
            <v>11 dias</v>
          </cell>
          <cell r="F484">
            <v>38846.375</v>
          </cell>
          <cell r="G484">
            <v>39037.333333333336</v>
          </cell>
          <cell r="H484" t="str">
            <v>NA</v>
          </cell>
          <cell r="I484">
            <v>38861.375</v>
          </cell>
          <cell r="J484">
            <v>39051.729166666664</v>
          </cell>
          <cell r="K484" t="str">
            <v>NA</v>
          </cell>
          <cell r="L484">
            <v>0.22</v>
          </cell>
          <cell r="M484">
            <v>5</v>
          </cell>
          <cell r="N484">
            <v>0</v>
          </cell>
          <cell r="O484">
            <v>0</v>
          </cell>
          <cell r="P484">
            <v>0</v>
          </cell>
          <cell r="T484">
            <v>39051</v>
          </cell>
        </row>
        <row r="485">
          <cell r="D485" t="str">
            <v>Desenho De Detalhamento</v>
          </cell>
          <cell r="E485" t="str">
            <v>11 dias</v>
          </cell>
          <cell r="F485">
            <v>38846.375</v>
          </cell>
          <cell r="G485">
            <v>39037.333333333336</v>
          </cell>
          <cell r="H485" t="str">
            <v>NA</v>
          </cell>
          <cell r="I485">
            <v>38861.375</v>
          </cell>
          <cell r="J485">
            <v>39051.729166666664</v>
          </cell>
          <cell r="K485" t="str">
            <v>NA</v>
          </cell>
          <cell r="L485">
            <v>0.22</v>
          </cell>
          <cell r="M485">
            <v>5</v>
          </cell>
          <cell r="N485">
            <v>0</v>
          </cell>
          <cell r="O485">
            <v>0</v>
          </cell>
          <cell r="P485">
            <v>0</v>
          </cell>
          <cell r="R485">
            <v>488</v>
          </cell>
          <cell r="T485">
            <v>39051</v>
          </cell>
        </row>
        <row r="486">
          <cell r="B486" t="str">
            <v>DC.320.DD.01</v>
          </cell>
          <cell r="D486" t="str">
            <v>Fundação</v>
          </cell>
          <cell r="E486" t="str">
            <v>6 dias</v>
          </cell>
          <cell r="F486">
            <v>38846.375</v>
          </cell>
          <cell r="G486">
            <v>39037.333333333336</v>
          </cell>
          <cell r="H486" t="str">
            <v>NA</v>
          </cell>
          <cell r="I486">
            <v>38854.375</v>
          </cell>
          <cell r="J486">
            <v>39044.729166666664</v>
          </cell>
          <cell r="K486" t="str">
            <v>NA</v>
          </cell>
          <cell r="L486">
            <v>0.13</v>
          </cell>
          <cell r="M486">
            <v>3</v>
          </cell>
          <cell r="N486">
            <v>0</v>
          </cell>
          <cell r="O486">
            <v>0</v>
          </cell>
          <cell r="P486">
            <v>0</v>
          </cell>
          <cell r="Q486">
            <v>472</v>
          </cell>
          <cell r="R486">
            <v>485</v>
          </cell>
          <cell r="S486" t="str">
            <v>EQUIPE CIV</v>
          </cell>
          <cell r="T486">
            <v>39044</v>
          </cell>
        </row>
        <row r="487">
          <cell r="B487" t="str">
            <v>DC.320.DD.02</v>
          </cell>
          <cell r="D487" t="str">
            <v>Inseridos e Lajes</v>
          </cell>
          <cell r="E487" t="str">
            <v>5 dias</v>
          </cell>
          <cell r="F487">
            <v>38854.375</v>
          </cell>
          <cell r="G487">
            <v>39045.333333333336</v>
          </cell>
          <cell r="H487" t="str">
            <v>NA</v>
          </cell>
          <cell r="I487">
            <v>38861.375</v>
          </cell>
          <cell r="J487">
            <v>39051.729166666664</v>
          </cell>
          <cell r="K487" t="str">
            <v>NA</v>
          </cell>
          <cell r="L487">
            <v>0.09</v>
          </cell>
          <cell r="M487">
            <v>2</v>
          </cell>
          <cell r="N487">
            <v>0</v>
          </cell>
          <cell r="O487">
            <v>0</v>
          </cell>
          <cell r="P487">
            <v>0</v>
          </cell>
          <cell r="Q487">
            <v>484</v>
          </cell>
          <cell r="S487" t="str">
            <v>EQUIPE CIV</v>
          </cell>
          <cell r="T487">
            <v>39051</v>
          </cell>
        </row>
        <row r="488">
          <cell r="D488" t="str">
            <v>Elétrica</v>
          </cell>
          <cell r="E488" t="str">
            <v>11 dias</v>
          </cell>
          <cell r="F488">
            <v>38861.375</v>
          </cell>
          <cell r="G488">
            <v>39052.333333333336</v>
          </cell>
          <cell r="H488" t="str">
            <v>NA</v>
          </cell>
          <cell r="I488">
            <v>38916.375</v>
          </cell>
          <cell r="J488">
            <v>39066.729166666664</v>
          </cell>
          <cell r="K488" t="str">
            <v>NA</v>
          </cell>
          <cell r="L488">
            <v>0.54</v>
          </cell>
          <cell r="M488">
            <v>12.25</v>
          </cell>
          <cell r="N488">
            <v>0</v>
          </cell>
          <cell r="O488">
            <v>0</v>
          </cell>
          <cell r="P488">
            <v>0</v>
          </cell>
          <cell r="T488">
            <v>39066</v>
          </cell>
        </row>
        <row r="489">
          <cell r="D489" t="str">
            <v>Desenho De Detalhamento</v>
          </cell>
          <cell r="E489" t="str">
            <v>11 dias</v>
          </cell>
          <cell r="F489">
            <v>38861.375</v>
          </cell>
          <cell r="G489">
            <v>39052.333333333336</v>
          </cell>
          <cell r="H489" t="str">
            <v>NA</v>
          </cell>
          <cell r="I489">
            <v>38902.375</v>
          </cell>
          <cell r="J489">
            <v>39066.729166666664</v>
          </cell>
          <cell r="K489" t="str">
            <v>NA</v>
          </cell>
          <cell r="L489">
            <v>0.48</v>
          </cell>
          <cell r="M489">
            <v>11</v>
          </cell>
          <cell r="N489">
            <v>0</v>
          </cell>
          <cell r="O489">
            <v>0</v>
          </cell>
          <cell r="P489">
            <v>0</v>
          </cell>
          <cell r="R489" t="str">
            <v>491II</v>
          </cell>
          <cell r="T489">
            <v>39066</v>
          </cell>
        </row>
        <row r="490">
          <cell r="B490" t="str">
            <v>DE.320.DD.01</v>
          </cell>
          <cell r="D490" t="str">
            <v>Disposição De Força, Controle e Aterramento</v>
          </cell>
          <cell r="E490" t="str">
            <v>6 dias</v>
          </cell>
          <cell r="F490">
            <v>38861.375</v>
          </cell>
          <cell r="G490">
            <v>39052.333333333336</v>
          </cell>
          <cell r="H490" t="str">
            <v>NA</v>
          </cell>
          <cell r="I490">
            <v>38869.375</v>
          </cell>
          <cell r="J490">
            <v>39059.729166666664</v>
          </cell>
          <cell r="K490" t="str">
            <v>NA</v>
          </cell>
          <cell r="L490">
            <v>0.09</v>
          </cell>
          <cell r="M490">
            <v>2</v>
          </cell>
          <cell r="N490">
            <v>0</v>
          </cell>
          <cell r="O490">
            <v>0</v>
          </cell>
          <cell r="P490">
            <v>0</v>
          </cell>
          <cell r="Q490">
            <v>483</v>
          </cell>
          <cell r="R490" t="str">
            <v>489II;490II</v>
          </cell>
          <cell r="S490" t="str">
            <v>EQUIPE ELE</v>
          </cell>
          <cell r="T490">
            <v>39059</v>
          </cell>
        </row>
        <row r="491">
          <cell r="B491" t="str">
            <v>DE.320.DD.02</v>
          </cell>
          <cell r="D491" t="str">
            <v>Iluminação</v>
          </cell>
          <cell r="E491" t="str">
            <v>11 dias</v>
          </cell>
          <cell r="F491">
            <v>38869.375</v>
          </cell>
          <cell r="G491">
            <v>39052.333333333336</v>
          </cell>
          <cell r="H491" t="str">
            <v>NA</v>
          </cell>
          <cell r="I491">
            <v>38894.375</v>
          </cell>
          <cell r="J491">
            <v>39066.729166666664</v>
          </cell>
          <cell r="K491" t="str">
            <v>NA</v>
          </cell>
          <cell r="L491">
            <v>0.31</v>
          </cell>
          <cell r="M491">
            <v>7</v>
          </cell>
          <cell r="N491">
            <v>0</v>
          </cell>
          <cell r="O491">
            <v>0</v>
          </cell>
          <cell r="P491">
            <v>0</v>
          </cell>
          <cell r="Q491" t="str">
            <v>488II</v>
          </cell>
          <cell r="S491" t="str">
            <v>EQUIPE ELE</v>
          </cell>
          <cell r="T491">
            <v>39066</v>
          </cell>
        </row>
        <row r="492">
          <cell r="B492" t="str">
            <v>DE.320.DD.03</v>
          </cell>
          <cell r="D492" t="str">
            <v>Eletrodutos</v>
          </cell>
          <cell r="E492" t="str">
            <v>6 dias</v>
          </cell>
          <cell r="F492">
            <v>38894.375</v>
          </cell>
          <cell r="G492">
            <v>39052.333333333336</v>
          </cell>
          <cell r="H492" t="str">
            <v>NA</v>
          </cell>
          <cell r="I492">
            <v>38902.375</v>
          </cell>
          <cell r="J492">
            <v>39059.729166666664</v>
          </cell>
          <cell r="K492" t="str">
            <v>NA</v>
          </cell>
          <cell r="L492">
            <v>0.09</v>
          </cell>
          <cell r="M492">
            <v>2</v>
          </cell>
          <cell r="N492">
            <v>0</v>
          </cell>
          <cell r="O492">
            <v>0</v>
          </cell>
          <cell r="P492">
            <v>0</v>
          </cell>
          <cell r="Q492" t="str">
            <v>488II</v>
          </cell>
          <cell r="S492" t="str">
            <v>EQUIPE ELE</v>
          </cell>
          <cell r="T492">
            <v>39059</v>
          </cell>
        </row>
        <row r="493">
          <cell r="B493" t="str">
            <v>DE.320.LC.01</v>
          </cell>
          <cell r="D493" t="str">
            <v>Lista De Linhas/ Cabos</v>
          </cell>
          <cell r="E493" t="str">
            <v>8 dias</v>
          </cell>
          <cell r="F493">
            <v>38902.375</v>
          </cell>
          <cell r="G493">
            <v>39052.333333333336</v>
          </cell>
          <cell r="H493" t="str">
            <v>NA</v>
          </cell>
          <cell r="I493">
            <v>38908.375</v>
          </cell>
          <cell r="J493">
            <v>39063.729166666664</v>
          </cell>
          <cell r="K493" t="str">
            <v>NA</v>
          </cell>
          <cell r="L493">
            <v>0.05</v>
          </cell>
          <cell r="M493">
            <v>1.25</v>
          </cell>
          <cell r="N493">
            <v>0</v>
          </cell>
          <cell r="O493">
            <v>0</v>
          </cell>
          <cell r="P493">
            <v>0</v>
          </cell>
          <cell r="Q493" t="str">
            <v>487II</v>
          </cell>
          <cell r="S493" t="str">
            <v>EQUIPE ELE</v>
          </cell>
          <cell r="T493">
            <v>39063</v>
          </cell>
        </row>
        <row r="494">
          <cell r="B494" t="str">
            <v>1.2.4</v>
          </cell>
          <cell r="C494" t="str">
            <v>370A</v>
          </cell>
          <cell r="D494" t="str">
            <v>Laboratório de Análise Físico-Químicas</v>
          </cell>
          <cell r="E494" t="str">
            <v>30 dias</v>
          </cell>
          <cell r="F494">
            <v>38839.375</v>
          </cell>
          <cell r="G494">
            <v>39022.333333333336</v>
          </cell>
          <cell r="H494" t="str">
            <v>NA</v>
          </cell>
          <cell r="I494">
            <v>38904.375</v>
          </cell>
          <cell r="J494">
            <v>39066.729166666664</v>
          </cell>
          <cell r="K494" t="str">
            <v>NA</v>
          </cell>
          <cell r="L494">
            <v>0.98</v>
          </cell>
          <cell r="M494">
            <v>22.38</v>
          </cell>
          <cell r="N494">
            <v>0</v>
          </cell>
          <cell r="O494">
            <v>0</v>
          </cell>
          <cell r="P494">
            <v>0</v>
          </cell>
          <cell r="T494">
            <v>39066</v>
          </cell>
        </row>
        <row r="495">
          <cell r="D495" t="str">
            <v>Projeto Detalhado</v>
          </cell>
          <cell r="E495" t="str">
            <v>30 dias</v>
          </cell>
          <cell r="F495">
            <v>38853.375</v>
          </cell>
          <cell r="G495">
            <v>39022.333333333336</v>
          </cell>
          <cell r="H495" t="str">
            <v>NA</v>
          </cell>
          <cell r="I495">
            <v>38904.375</v>
          </cell>
          <cell r="J495">
            <v>39066.729166666664</v>
          </cell>
          <cell r="K495" t="str">
            <v>NA</v>
          </cell>
          <cell r="L495">
            <v>0.98</v>
          </cell>
          <cell r="M495">
            <v>22.38</v>
          </cell>
          <cell r="N495">
            <v>0</v>
          </cell>
          <cell r="O495">
            <v>0</v>
          </cell>
          <cell r="P495">
            <v>0</v>
          </cell>
          <cell r="T495">
            <v>39066</v>
          </cell>
        </row>
        <row r="496">
          <cell r="D496" t="str">
            <v>Civil</v>
          </cell>
          <cell r="E496" t="str">
            <v>29 dias</v>
          </cell>
          <cell r="F496">
            <v>38853.375</v>
          </cell>
          <cell r="G496">
            <v>39022.333333333336</v>
          </cell>
          <cell r="H496" t="str">
            <v>NA</v>
          </cell>
          <cell r="I496">
            <v>38881.375</v>
          </cell>
          <cell r="J496">
            <v>39065.729166666664</v>
          </cell>
          <cell r="K496" t="str">
            <v>NA</v>
          </cell>
          <cell r="L496">
            <v>0.74</v>
          </cell>
          <cell r="M496">
            <v>17</v>
          </cell>
          <cell r="N496">
            <v>0</v>
          </cell>
          <cell r="O496">
            <v>0</v>
          </cell>
          <cell r="P496">
            <v>0</v>
          </cell>
          <cell r="T496">
            <v>39065</v>
          </cell>
        </row>
        <row r="497">
          <cell r="D497" t="str">
            <v>Desenho De Detalhamento</v>
          </cell>
          <cell r="E497" t="str">
            <v>29 dias</v>
          </cell>
          <cell r="F497">
            <v>38853.375</v>
          </cell>
          <cell r="G497">
            <v>39022.333333333336</v>
          </cell>
          <cell r="H497" t="str">
            <v>NA</v>
          </cell>
          <cell r="I497">
            <v>38881.375</v>
          </cell>
          <cell r="J497">
            <v>39065.729166666664</v>
          </cell>
          <cell r="K497" t="str">
            <v>NA</v>
          </cell>
          <cell r="L497">
            <v>0.74</v>
          </cell>
          <cell r="M497">
            <v>17</v>
          </cell>
          <cell r="N497">
            <v>0</v>
          </cell>
          <cell r="O497">
            <v>0</v>
          </cell>
          <cell r="P497">
            <v>0</v>
          </cell>
          <cell r="T497">
            <v>39065</v>
          </cell>
        </row>
        <row r="498">
          <cell r="B498" t="str">
            <v>DC.370.DD.01</v>
          </cell>
          <cell r="D498" t="str">
            <v>Arquitetura</v>
          </cell>
          <cell r="E498" t="str">
            <v>9 dias</v>
          </cell>
          <cell r="F498">
            <v>38853.375</v>
          </cell>
          <cell r="G498">
            <v>39022.333333333336</v>
          </cell>
          <cell r="H498" t="str">
            <v>NA</v>
          </cell>
          <cell r="I498">
            <v>38866.375</v>
          </cell>
          <cell r="J498">
            <v>39037.729166666664</v>
          </cell>
          <cell r="K498" t="str">
            <v>NA</v>
          </cell>
          <cell r="L498">
            <v>0.26</v>
          </cell>
          <cell r="M498">
            <v>6</v>
          </cell>
          <cell r="N498">
            <v>0</v>
          </cell>
          <cell r="O498">
            <v>0</v>
          </cell>
          <cell r="P498">
            <v>0</v>
          </cell>
          <cell r="Q498">
            <v>471</v>
          </cell>
          <cell r="R498">
            <v>497</v>
          </cell>
          <cell r="S498" t="str">
            <v>EQUIPE ARQ</v>
          </cell>
          <cell r="T498">
            <v>39037</v>
          </cell>
        </row>
        <row r="499">
          <cell r="B499" t="str">
            <v>DC.370.DD.02</v>
          </cell>
          <cell r="D499" t="str">
            <v>Fundação</v>
          </cell>
          <cell r="E499" t="str">
            <v>6 dias</v>
          </cell>
          <cell r="F499">
            <v>38853.375</v>
          </cell>
          <cell r="G499">
            <v>39038.333333333336</v>
          </cell>
          <cell r="H499" t="str">
            <v>NA</v>
          </cell>
          <cell r="I499">
            <v>38861.375</v>
          </cell>
          <cell r="J499">
            <v>39045.729166666664</v>
          </cell>
          <cell r="K499" t="str">
            <v>NA</v>
          </cell>
          <cell r="L499">
            <v>0.13</v>
          </cell>
          <cell r="M499">
            <v>3</v>
          </cell>
          <cell r="N499">
            <v>0</v>
          </cell>
          <cell r="O499">
            <v>0</v>
          </cell>
          <cell r="P499">
            <v>0</v>
          </cell>
          <cell r="Q499">
            <v>496</v>
          </cell>
          <cell r="R499" t="str">
            <v>498;502</v>
          </cell>
          <cell r="S499" t="str">
            <v>EQUIPE CIV</v>
          </cell>
          <cell r="T499">
            <v>39045</v>
          </cell>
        </row>
        <row r="500">
          <cell r="B500" t="str">
            <v>DC.370.DD.03</v>
          </cell>
          <cell r="D500" t="str">
            <v>Pilares, Vigas e Lajes</v>
          </cell>
          <cell r="E500" t="str">
            <v>8 dias</v>
          </cell>
          <cell r="F500">
            <v>38861.375</v>
          </cell>
          <cell r="G500">
            <v>39048.333333333336</v>
          </cell>
          <cell r="H500" t="str">
            <v>NA</v>
          </cell>
          <cell r="I500">
            <v>38873.375</v>
          </cell>
          <cell r="J500">
            <v>39057.729166666664</v>
          </cell>
          <cell r="K500" t="str">
            <v>NA</v>
          </cell>
          <cell r="L500">
            <v>0.22</v>
          </cell>
          <cell r="M500">
            <v>5</v>
          </cell>
          <cell r="N500">
            <v>0</v>
          </cell>
          <cell r="O500">
            <v>0</v>
          </cell>
          <cell r="P500">
            <v>0</v>
          </cell>
          <cell r="Q500">
            <v>497</v>
          </cell>
          <cell r="R500">
            <v>499</v>
          </cell>
          <cell r="S500" t="str">
            <v>EQUIPE CIV</v>
          </cell>
          <cell r="T500">
            <v>39057</v>
          </cell>
        </row>
        <row r="501">
          <cell r="B501" t="str">
            <v>DC.370.DD.04</v>
          </cell>
          <cell r="D501" t="str">
            <v>Hidráulica</v>
          </cell>
          <cell r="E501" t="str">
            <v>6 dias</v>
          </cell>
          <cell r="F501">
            <v>38873.375</v>
          </cell>
          <cell r="G501">
            <v>39058.333333333336</v>
          </cell>
          <cell r="H501" t="str">
            <v>NA</v>
          </cell>
          <cell r="I501">
            <v>38881.375</v>
          </cell>
          <cell r="J501">
            <v>39065.729166666664</v>
          </cell>
          <cell r="K501" t="str">
            <v>NA</v>
          </cell>
          <cell r="L501">
            <v>0.13</v>
          </cell>
          <cell r="M501">
            <v>3</v>
          </cell>
          <cell r="N501">
            <v>0</v>
          </cell>
          <cell r="O501">
            <v>0</v>
          </cell>
          <cell r="P501">
            <v>0</v>
          </cell>
          <cell r="Q501">
            <v>498</v>
          </cell>
          <cell r="S501" t="str">
            <v>EQUIPE CIV</v>
          </cell>
          <cell r="T501">
            <v>39065</v>
          </cell>
        </row>
        <row r="502">
          <cell r="D502" t="str">
            <v>Elétrica</v>
          </cell>
          <cell r="E502" t="str">
            <v>15 dias</v>
          </cell>
          <cell r="F502">
            <v>38881.375</v>
          </cell>
          <cell r="G502">
            <v>39048.333333333336</v>
          </cell>
          <cell r="H502" t="str">
            <v>NA</v>
          </cell>
          <cell r="I502">
            <v>38904.375</v>
          </cell>
          <cell r="J502">
            <v>39066.729166666664</v>
          </cell>
          <cell r="K502" t="str">
            <v>NA</v>
          </cell>
          <cell r="L502">
            <v>0.23</v>
          </cell>
          <cell r="M502">
            <v>5.38</v>
          </cell>
          <cell r="N502">
            <v>0</v>
          </cell>
          <cell r="O502">
            <v>0</v>
          </cell>
          <cell r="P502">
            <v>0</v>
          </cell>
          <cell r="T502">
            <v>39066</v>
          </cell>
        </row>
        <row r="503">
          <cell r="D503" t="str">
            <v>Desenho De Detalhamento</v>
          </cell>
          <cell r="E503" t="str">
            <v>13 dias</v>
          </cell>
          <cell r="F503">
            <v>38881.375</v>
          </cell>
          <cell r="G503">
            <v>39048.333333333336</v>
          </cell>
          <cell r="H503" t="str">
            <v>NA</v>
          </cell>
          <cell r="I503">
            <v>38902.375</v>
          </cell>
          <cell r="J503">
            <v>39064.729166666664</v>
          </cell>
          <cell r="K503" t="str">
            <v>NA</v>
          </cell>
          <cell r="L503">
            <v>0.22</v>
          </cell>
          <cell r="M503">
            <v>5</v>
          </cell>
          <cell r="N503">
            <v>0</v>
          </cell>
          <cell r="O503">
            <v>0</v>
          </cell>
          <cell r="P503">
            <v>0</v>
          </cell>
          <cell r="R503">
            <v>504</v>
          </cell>
          <cell r="T503">
            <v>39064</v>
          </cell>
        </row>
        <row r="504">
          <cell r="B504" t="str">
            <v>DE.370.DD.01</v>
          </cell>
          <cell r="D504" t="str">
            <v>Aterramento</v>
          </cell>
          <cell r="E504" t="str">
            <v>4 dias</v>
          </cell>
          <cell r="F504">
            <v>38881.375</v>
          </cell>
          <cell r="G504">
            <v>39048.333333333336</v>
          </cell>
          <cell r="H504" t="str">
            <v>NA</v>
          </cell>
          <cell r="I504">
            <v>38889.375</v>
          </cell>
          <cell r="J504">
            <v>39051.729166666664</v>
          </cell>
          <cell r="K504" t="str">
            <v>NA</v>
          </cell>
          <cell r="L504">
            <v>0.04</v>
          </cell>
          <cell r="M504">
            <v>1</v>
          </cell>
          <cell r="N504">
            <v>0</v>
          </cell>
          <cell r="O504">
            <v>0</v>
          </cell>
          <cell r="P504">
            <v>0</v>
          </cell>
          <cell r="Q504">
            <v>497</v>
          </cell>
          <cell r="R504">
            <v>503</v>
          </cell>
          <cell r="S504" t="str">
            <v>EQUIPE ELE</v>
          </cell>
          <cell r="T504">
            <v>39051</v>
          </cell>
        </row>
        <row r="505">
          <cell r="B505" t="str">
            <v>DE.370.DD.02</v>
          </cell>
          <cell r="D505" t="str">
            <v>Iluminação</v>
          </cell>
          <cell r="E505" t="str">
            <v>9 dias</v>
          </cell>
          <cell r="F505">
            <v>38889.375</v>
          </cell>
          <cell r="G505">
            <v>39052.333333333336</v>
          </cell>
          <cell r="H505" t="str">
            <v>NA</v>
          </cell>
          <cell r="I505">
            <v>38902.375</v>
          </cell>
          <cell r="J505">
            <v>39064.729166666664</v>
          </cell>
          <cell r="K505" t="str">
            <v>NA</v>
          </cell>
          <cell r="L505">
            <v>0.17</v>
          </cell>
          <cell r="M505">
            <v>4</v>
          </cell>
          <cell r="N505">
            <v>0</v>
          </cell>
          <cell r="O505">
            <v>0</v>
          </cell>
          <cell r="P505">
            <v>0</v>
          </cell>
          <cell r="Q505">
            <v>502</v>
          </cell>
          <cell r="S505" t="str">
            <v>EQUIPE ELE</v>
          </cell>
          <cell r="T505">
            <v>39064</v>
          </cell>
        </row>
        <row r="506">
          <cell r="B506" t="str">
            <v>DE.370.LC.01</v>
          </cell>
          <cell r="D506" t="str">
            <v>Lista De Linhas/ Cabos</v>
          </cell>
          <cell r="E506" t="str">
            <v>2 dias</v>
          </cell>
          <cell r="F506">
            <v>38902.375</v>
          </cell>
          <cell r="G506">
            <v>39065.333333333336</v>
          </cell>
          <cell r="H506" t="str">
            <v>NA</v>
          </cell>
          <cell r="I506">
            <v>38904.375</v>
          </cell>
          <cell r="J506">
            <v>39066.729166666664</v>
          </cell>
          <cell r="K506" t="str">
            <v>NA</v>
          </cell>
          <cell r="L506">
            <v>0.02</v>
          </cell>
          <cell r="M506">
            <v>0.38</v>
          </cell>
          <cell r="N506">
            <v>0</v>
          </cell>
          <cell r="O506">
            <v>0</v>
          </cell>
          <cell r="P506">
            <v>0</v>
          </cell>
          <cell r="Q506">
            <v>501</v>
          </cell>
          <cell r="S506" t="str">
            <v>EQUIPE ELE</v>
          </cell>
          <cell r="T506">
            <v>39066</v>
          </cell>
        </row>
        <row r="507">
          <cell r="B507" t="str">
            <v>1.3</v>
          </cell>
          <cell r="C507" t="str">
            <v>400A</v>
          </cell>
          <cell r="D507" t="str">
            <v>APOIO ADMINISTRATIVO</v>
          </cell>
          <cell r="E507" t="str">
            <v>107 dias</v>
          </cell>
          <cell r="F507">
            <v>38853.375</v>
          </cell>
          <cell r="G507">
            <v>38905.333333333336</v>
          </cell>
          <cell r="H507">
            <v>38905.333333333336</v>
          </cell>
          <cell r="I507">
            <v>38966.375</v>
          </cell>
          <cell r="J507">
            <v>39066.729166666664</v>
          </cell>
          <cell r="K507" t="str">
            <v>NA</v>
          </cell>
          <cell r="L507">
            <v>4.63</v>
          </cell>
          <cell r="M507">
            <v>106</v>
          </cell>
          <cell r="N507">
            <v>10.58</v>
          </cell>
          <cell r="O507">
            <v>9.98</v>
          </cell>
          <cell r="P507">
            <v>9.98</v>
          </cell>
          <cell r="T507">
            <v>39066</v>
          </cell>
        </row>
        <row r="508">
          <cell r="B508" t="str">
            <v>1.3.1</v>
          </cell>
          <cell r="C508" t="str">
            <v>405A</v>
          </cell>
          <cell r="D508" t="str">
            <v>Geral</v>
          </cell>
          <cell r="E508" t="str">
            <v>40 dias</v>
          </cell>
          <cell r="F508" t="str">
            <v>NA</v>
          </cell>
          <cell r="G508">
            <v>38905.333333333336</v>
          </cell>
          <cell r="H508">
            <v>38905.333333333336</v>
          </cell>
          <cell r="I508" t="str">
            <v>NA</v>
          </cell>
          <cell r="J508">
            <v>38964.729166666664</v>
          </cell>
          <cell r="K508" t="str">
            <v>NA</v>
          </cell>
          <cell r="L508">
            <v>0.51</v>
          </cell>
          <cell r="M508">
            <v>11.63</v>
          </cell>
          <cell r="N508">
            <v>10.58</v>
          </cell>
          <cell r="O508">
            <v>90.97</v>
          </cell>
          <cell r="P508">
            <v>90.97</v>
          </cell>
          <cell r="T508">
            <v>38964</v>
          </cell>
        </row>
        <row r="509">
          <cell r="D509" t="str">
            <v>Projeto Básico</v>
          </cell>
          <cell r="E509" t="str">
            <v>32 dias</v>
          </cell>
          <cell r="F509" t="str">
            <v>NA</v>
          </cell>
          <cell r="G509">
            <v>38917.333333333336</v>
          </cell>
          <cell r="H509">
            <v>38917.333333333336</v>
          </cell>
          <cell r="I509" t="str">
            <v>NA</v>
          </cell>
          <cell r="J509">
            <v>38964.729166666664</v>
          </cell>
          <cell r="K509" t="str">
            <v>NA</v>
          </cell>
          <cell r="L509">
            <v>0.44</v>
          </cell>
          <cell r="M509">
            <v>10.130000000000001</v>
          </cell>
          <cell r="N509">
            <v>9.23</v>
          </cell>
          <cell r="O509">
            <v>91.11</v>
          </cell>
          <cell r="P509">
            <v>91.11</v>
          </cell>
          <cell r="T509">
            <v>38964</v>
          </cell>
        </row>
        <row r="510">
          <cell r="D510" t="str">
            <v>Mecânica</v>
          </cell>
          <cell r="E510" t="str">
            <v>9 dias</v>
          </cell>
          <cell r="F510" t="str">
            <v>NA</v>
          </cell>
          <cell r="G510">
            <v>38952.333333333336</v>
          </cell>
          <cell r="H510">
            <v>38952.333333333336</v>
          </cell>
          <cell r="I510" t="str">
            <v>NA</v>
          </cell>
          <cell r="J510">
            <v>38964.729166666664</v>
          </cell>
          <cell r="K510" t="str">
            <v>NA</v>
          </cell>
          <cell r="L510">
            <v>0.25</v>
          </cell>
          <cell r="M510">
            <v>5.63</v>
          </cell>
          <cell r="N510">
            <v>5.0599999999999996</v>
          </cell>
          <cell r="O510">
            <v>0</v>
          </cell>
          <cell r="P510">
            <v>90</v>
          </cell>
          <cell r="T510">
            <v>38964</v>
          </cell>
        </row>
        <row r="511">
          <cell r="B511" t="str">
            <v>BB.405.OI.01</v>
          </cell>
          <cell r="D511" t="str">
            <v>Orçamento De Investimentos</v>
          </cell>
          <cell r="E511" t="str">
            <v>9 dias</v>
          </cell>
          <cell r="F511" t="str">
            <v>NA</v>
          </cell>
          <cell r="G511">
            <v>38952.333333333336</v>
          </cell>
          <cell r="H511">
            <v>38952.333333333336</v>
          </cell>
          <cell r="I511" t="str">
            <v>NA</v>
          </cell>
          <cell r="J511">
            <v>38964.729166666664</v>
          </cell>
          <cell r="K511" t="str">
            <v>NA</v>
          </cell>
          <cell r="L511">
            <v>0.25</v>
          </cell>
          <cell r="M511">
            <v>5.63</v>
          </cell>
          <cell r="N511">
            <v>5.0599999999999996</v>
          </cell>
          <cell r="O511">
            <v>0</v>
          </cell>
          <cell r="P511">
            <v>90</v>
          </cell>
          <cell r="Q511" t="str">
            <v>34II</v>
          </cell>
          <cell r="S511" t="str">
            <v>EQUIPE MEC</v>
          </cell>
          <cell r="T511">
            <v>38964</v>
          </cell>
        </row>
        <row r="512">
          <cell r="D512" t="str">
            <v>Civil</v>
          </cell>
          <cell r="E512" t="str">
            <v>5 dias</v>
          </cell>
          <cell r="F512" t="str">
            <v>NA</v>
          </cell>
          <cell r="G512">
            <v>38917.333333333336</v>
          </cell>
          <cell r="H512">
            <v>38917.333333333336</v>
          </cell>
          <cell r="I512" t="str">
            <v>NA</v>
          </cell>
          <cell r="J512">
            <v>38923.729166666664</v>
          </cell>
          <cell r="K512" t="str">
            <v>NA</v>
          </cell>
          <cell r="L512">
            <v>0.2</v>
          </cell>
          <cell r="M512">
            <v>4.5</v>
          </cell>
          <cell r="N512">
            <v>4.16</v>
          </cell>
          <cell r="O512">
            <v>0</v>
          </cell>
          <cell r="P512">
            <v>92.5</v>
          </cell>
          <cell r="T512">
            <v>38923</v>
          </cell>
        </row>
        <row r="513">
          <cell r="B513" t="str">
            <v>BC.405.PQ.01</v>
          </cell>
          <cell r="D513" t="str">
            <v>Planilha De Quantitativos - Arquitetura</v>
          </cell>
          <cell r="E513" t="str">
            <v>5 dias</v>
          </cell>
          <cell r="F513" t="str">
            <v>NA</v>
          </cell>
          <cell r="G513">
            <v>38917.333333333336</v>
          </cell>
          <cell r="H513">
            <v>38917.333333333336</v>
          </cell>
          <cell r="I513" t="str">
            <v>NA</v>
          </cell>
          <cell r="J513">
            <v>38923.729166666664</v>
          </cell>
          <cell r="K513" t="str">
            <v>NA</v>
          </cell>
          <cell r="L513">
            <v>0.2</v>
          </cell>
          <cell r="M513">
            <v>4.5</v>
          </cell>
          <cell r="N513">
            <v>4.16</v>
          </cell>
          <cell r="O513">
            <v>0</v>
          </cell>
          <cell r="P513">
            <v>92.5</v>
          </cell>
          <cell r="Q513" t="str">
            <v>16II</v>
          </cell>
          <cell r="S513" t="str">
            <v>EQUIPE ARQ</v>
          </cell>
          <cell r="T513">
            <v>38923</v>
          </cell>
        </row>
        <row r="514">
          <cell r="D514" t="str">
            <v>Projeto Detalhado</v>
          </cell>
          <cell r="E514" t="str">
            <v>5 dias</v>
          </cell>
          <cell r="F514" t="str">
            <v>NA</v>
          </cell>
          <cell r="G514">
            <v>38905.333333333336</v>
          </cell>
          <cell r="H514">
            <v>38905.333333333336</v>
          </cell>
          <cell r="I514" t="str">
            <v>NA</v>
          </cell>
          <cell r="J514">
            <v>38911.729166666664</v>
          </cell>
          <cell r="K514" t="str">
            <v>NA</v>
          </cell>
          <cell r="L514">
            <v>7.0000000000000007E-2</v>
          </cell>
          <cell r="M514">
            <v>1.5</v>
          </cell>
          <cell r="N514">
            <v>1.35</v>
          </cell>
          <cell r="O514">
            <v>90</v>
          </cell>
          <cell r="P514">
            <v>90</v>
          </cell>
          <cell r="T514">
            <v>38911</v>
          </cell>
        </row>
        <row r="515">
          <cell r="D515" t="str">
            <v>Civil</v>
          </cell>
          <cell r="E515" t="str">
            <v>5 dias</v>
          </cell>
          <cell r="F515" t="str">
            <v>NA</v>
          </cell>
          <cell r="G515">
            <v>38905.333333333336</v>
          </cell>
          <cell r="H515">
            <v>38905.333333333336</v>
          </cell>
          <cell r="I515" t="str">
            <v>NA</v>
          </cell>
          <cell r="J515">
            <v>38911.729166666664</v>
          </cell>
          <cell r="K515" t="str">
            <v>NA</v>
          </cell>
          <cell r="L515">
            <v>7.0000000000000007E-2</v>
          </cell>
          <cell r="M515">
            <v>1.5</v>
          </cell>
          <cell r="N515">
            <v>1.35</v>
          </cell>
          <cell r="O515">
            <v>0</v>
          </cell>
          <cell r="P515">
            <v>90</v>
          </cell>
          <cell r="T515">
            <v>38911</v>
          </cell>
        </row>
        <row r="516">
          <cell r="B516" t="str">
            <v>DC.405.RT.01</v>
          </cell>
          <cell r="D516" t="str">
            <v>Relatório Técnico Arquitetura - Viagem</v>
          </cell>
          <cell r="E516" t="str">
            <v>5 dias</v>
          </cell>
          <cell r="F516" t="str">
            <v>NA</v>
          </cell>
          <cell r="G516">
            <v>38905.333333333336</v>
          </cell>
          <cell r="H516">
            <v>38905.333333333336</v>
          </cell>
          <cell r="I516" t="str">
            <v>NA</v>
          </cell>
          <cell r="J516">
            <v>38911.729166666664</v>
          </cell>
          <cell r="K516" t="str">
            <v>NA</v>
          </cell>
          <cell r="L516">
            <v>7.0000000000000007E-2</v>
          </cell>
          <cell r="M516">
            <v>1.5</v>
          </cell>
          <cell r="N516">
            <v>1.35</v>
          </cell>
          <cell r="O516">
            <v>0</v>
          </cell>
          <cell r="P516">
            <v>90</v>
          </cell>
          <cell r="Q516" t="str">
            <v>16II</v>
          </cell>
          <cell r="S516" t="str">
            <v>EQUIPE ARQ</v>
          </cell>
          <cell r="T516">
            <v>38911</v>
          </cell>
        </row>
        <row r="517">
          <cell r="B517" t="str">
            <v>1.3.2</v>
          </cell>
          <cell r="C517" t="str">
            <v>410A</v>
          </cell>
          <cell r="D517" t="str">
            <v>Escritórios</v>
          </cell>
          <cell r="E517" t="str">
            <v>28 dias</v>
          </cell>
          <cell r="F517">
            <v>38853.375</v>
          </cell>
          <cell r="G517">
            <v>39022.333333333336</v>
          </cell>
          <cell r="H517" t="str">
            <v>NA</v>
          </cell>
          <cell r="I517">
            <v>38926.375</v>
          </cell>
          <cell r="J517">
            <v>39064.729166666664</v>
          </cell>
          <cell r="K517" t="str">
            <v>NA</v>
          </cell>
          <cell r="L517">
            <v>1.02</v>
          </cell>
          <cell r="M517">
            <v>23.38</v>
          </cell>
          <cell r="N517">
            <v>0</v>
          </cell>
          <cell r="O517">
            <v>0</v>
          </cell>
          <cell r="P517">
            <v>0</v>
          </cell>
          <cell r="T517">
            <v>39064</v>
          </cell>
        </row>
        <row r="518">
          <cell r="D518" t="str">
            <v>Projeto Detalhado</v>
          </cell>
          <cell r="E518" t="str">
            <v>28 dias</v>
          </cell>
          <cell r="F518">
            <v>38867.375</v>
          </cell>
          <cell r="G518">
            <v>39022.333333333336</v>
          </cell>
          <cell r="H518" t="str">
            <v>NA</v>
          </cell>
          <cell r="I518">
            <v>38926.375</v>
          </cell>
          <cell r="J518">
            <v>39064.729166666664</v>
          </cell>
          <cell r="K518" t="str">
            <v>NA</v>
          </cell>
          <cell r="L518">
            <v>1.02</v>
          </cell>
          <cell r="M518">
            <v>23.38</v>
          </cell>
          <cell r="N518">
            <v>0</v>
          </cell>
          <cell r="O518">
            <v>0</v>
          </cell>
          <cell r="P518">
            <v>0</v>
          </cell>
          <cell r="T518">
            <v>39064</v>
          </cell>
        </row>
        <row r="519">
          <cell r="D519" t="str">
            <v>Civil</v>
          </cell>
          <cell r="E519" t="str">
            <v>28 dias</v>
          </cell>
          <cell r="F519">
            <v>38867.375</v>
          </cell>
          <cell r="G519">
            <v>39022.333333333336</v>
          </cell>
          <cell r="H519" t="str">
            <v>NA</v>
          </cell>
          <cell r="I519">
            <v>38904.375</v>
          </cell>
          <cell r="J519">
            <v>39064.729166666664</v>
          </cell>
          <cell r="K519" t="str">
            <v>NA</v>
          </cell>
          <cell r="L519">
            <v>0.83</v>
          </cell>
          <cell r="M519">
            <v>19</v>
          </cell>
          <cell r="N519">
            <v>0</v>
          </cell>
          <cell r="O519">
            <v>0</v>
          </cell>
          <cell r="P519">
            <v>0</v>
          </cell>
          <cell r="T519">
            <v>39064</v>
          </cell>
        </row>
        <row r="520">
          <cell r="D520" t="str">
            <v>Desenho De Detalhamento</v>
          </cell>
          <cell r="E520" t="str">
            <v>28 dias</v>
          </cell>
          <cell r="F520">
            <v>38867.375</v>
          </cell>
          <cell r="G520">
            <v>39022.333333333336</v>
          </cell>
          <cell r="H520" t="str">
            <v>NA</v>
          </cell>
          <cell r="I520">
            <v>38904.375</v>
          </cell>
          <cell r="J520">
            <v>39064.729166666664</v>
          </cell>
          <cell r="K520" t="str">
            <v>NA</v>
          </cell>
          <cell r="L520">
            <v>0.83</v>
          </cell>
          <cell r="M520">
            <v>19</v>
          </cell>
          <cell r="N520">
            <v>0</v>
          </cell>
          <cell r="O520">
            <v>0</v>
          </cell>
          <cell r="P520">
            <v>0</v>
          </cell>
          <cell r="T520">
            <v>39064</v>
          </cell>
        </row>
        <row r="521">
          <cell r="B521" t="str">
            <v>DC.410.DD.01</v>
          </cell>
          <cell r="D521" t="str">
            <v>Arquitetura</v>
          </cell>
          <cell r="E521" t="str">
            <v>9 dias</v>
          </cell>
          <cell r="F521">
            <v>38867.375</v>
          </cell>
          <cell r="G521">
            <v>39022.333333333336</v>
          </cell>
          <cell r="H521" t="str">
            <v>NA</v>
          </cell>
          <cell r="I521">
            <v>38880.375</v>
          </cell>
          <cell r="J521">
            <v>39037.729166666664</v>
          </cell>
          <cell r="K521" t="str">
            <v>NA</v>
          </cell>
          <cell r="L521">
            <v>0.26</v>
          </cell>
          <cell r="M521">
            <v>6</v>
          </cell>
          <cell r="N521">
            <v>0</v>
          </cell>
          <cell r="O521">
            <v>0</v>
          </cell>
          <cell r="P521">
            <v>0</v>
          </cell>
          <cell r="Q521">
            <v>471</v>
          </cell>
          <cell r="R521">
            <v>520</v>
          </cell>
          <cell r="S521" t="str">
            <v>EQUIPE ARQ</v>
          </cell>
          <cell r="T521">
            <v>39037</v>
          </cell>
        </row>
        <row r="522">
          <cell r="B522" t="str">
            <v>DC.410.DD.02</v>
          </cell>
          <cell r="D522" t="str">
            <v>Fundação</v>
          </cell>
          <cell r="E522" t="str">
            <v>5 dias</v>
          </cell>
          <cell r="F522">
            <v>38867.375</v>
          </cell>
          <cell r="G522">
            <v>39038.333333333336</v>
          </cell>
          <cell r="H522" t="str">
            <v>NA</v>
          </cell>
          <cell r="I522">
            <v>38874.375</v>
          </cell>
          <cell r="J522">
            <v>39044.729166666664</v>
          </cell>
          <cell r="K522" t="str">
            <v>NA</v>
          </cell>
          <cell r="L522">
            <v>0.09</v>
          </cell>
          <cell r="M522">
            <v>2</v>
          </cell>
          <cell r="N522">
            <v>0</v>
          </cell>
          <cell r="O522">
            <v>0</v>
          </cell>
          <cell r="P522">
            <v>0</v>
          </cell>
          <cell r="Q522">
            <v>519</v>
          </cell>
          <cell r="R522" t="str">
            <v>521;526</v>
          </cell>
          <cell r="S522" t="str">
            <v>EQUIPE CIV</v>
          </cell>
          <cell r="T522">
            <v>39044</v>
          </cell>
        </row>
        <row r="523">
          <cell r="B523" t="str">
            <v>DC.410.DD.03</v>
          </cell>
          <cell r="D523" t="str">
            <v>Sapatas e Pilares</v>
          </cell>
          <cell r="E523" t="str">
            <v>7 dias</v>
          </cell>
          <cell r="F523">
            <v>38874.375</v>
          </cell>
          <cell r="G523">
            <v>39045.333333333336</v>
          </cell>
          <cell r="H523" t="str">
            <v>NA</v>
          </cell>
          <cell r="I523">
            <v>38887.375</v>
          </cell>
          <cell r="J523">
            <v>39055.729166666664</v>
          </cell>
          <cell r="K523" t="str">
            <v>NA</v>
          </cell>
          <cell r="L523">
            <v>0.17</v>
          </cell>
          <cell r="M523">
            <v>4</v>
          </cell>
          <cell r="N523">
            <v>0</v>
          </cell>
          <cell r="O523">
            <v>0</v>
          </cell>
          <cell r="P523">
            <v>0</v>
          </cell>
          <cell r="Q523">
            <v>520</v>
          </cell>
          <cell r="R523" t="str">
            <v>522;523</v>
          </cell>
          <cell r="S523" t="str">
            <v>EQUIPE CIV</v>
          </cell>
          <cell r="T523">
            <v>39055</v>
          </cell>
        </row>
        <row r="524">
          <cell r="B524" t="str">
            <v>DC.410.DD.04</v>
          </cell>
          <cell r="D524" t="str">
            <v>Lajes</v>
          </cell>
          <cell r="E524" t="str">
            <v>7 dias</v>
          </cell>
          <cell r="F524">
            <v>38887.375</v>
          </cell>
          <cell r="G524">
            <v>39056.333333333336</v>
          </cell>
          <cell r="H524" t="str">
            <v>NA</v>
          </cell>
          <cell r="I524">
            <v>38896.375</v>
          </cell>
          <cell r="J524">
            <v>39064.729166666664</v>
          </cell>
          <cell r="K524" t="str">
            <v>NA</v>
          </cell>
          <cell r="L524">
            <v>0.17</v>
          </cell>
          <cell r="M524">
            <v>4</v>
          </cell>
          <cell r="N524">
            <v>0</v>
          </cell>
          <cell r="O524">
            <v>0</v>
          </cell>
          <cell r="P524">
            <v>0</v>
          </cell>
          <cell r="Q524">
            <v>521</v>
          </cell>
          <cell r="S524" t="str">
            <v>EQUIPE CIV</v>
          </cell>
          <cell r="T524">
            <v>39064</v>
          </cell>
        </row>
        <row r="525">
          <cell r="B525" t="str">
            <v>DC.410.DD.05</v>
          </cell>
          <cell r="D525" t="str">
            <v>Hidrosanitário</v>
          </cell>
          <cell r="E525" t="str">
            <v>6 dias</v>
          </cell>
          <cell r="F525">
            <v>38896.375</v>
          </cell>
          <cell r="G525">
            <v>39056.333333333336</v>
          </cell>
          <cell r="H525" t="str">
            <v>NA</v>
          </cell>
          <cell r="I525">
            <v>38904.375</v>
          </cell>
          <cell r="J525">
            <v>39063.729166666664</v>
          </cell>
          <cell r="K525" t="str">
            <v>NA</v>
          </cell>
          <cell r="L525">
            <v>0.13</v>
          </cell>
          <cell r="M525">
            <v>3</v>
          </cell>
          <cell r="N525">
            <v>0</v>
          </cell>
          <cell r="O525">
            <v>0</v>
          </cell>
          <cell r="P525">
            <v>0</v>
          </cell>
          <cell r="Q525">
            <v>521</v>
          </cell>
          <cell r="S525" t="str">
            <v>EQUIPE CIV</v>
          </cell>
          <cell r="T525">
            <v>39063</v>
          </cell>
        </row>
        <row r="526">
          <cell r="D526" t="str">
            <v>Elétrica</v>
          </cell>
          <cell r="E526" t="str">
            <v>14 dias</v>
          </cell>
          <cell r="F526">
            <v>38904.375</v>
          </cell>
          <cell r="G526">
            <v>39045.333333333336</v>
          </cell>
          <cell r="H526" t="str">
            <v>NA</v>
          </cell>
          <cell r="I526">
            <v>38926.375</v>
          </cell>
          <cell r="J526">
            <v>39064.729166666664</v>
          </cell>
          <cell r="K526" t="str">
            <v>NA</v>
          </cell>
          <cell r="L526">
            <v>0.19</v>
          </cell>
          <cell r="M526">
            <v>4.38</v>
          </cell>
          <cell r="N526">
            <v>0</v>
          </cell>
          <cell r="O526">
            <v>0</v>
          </cell>
          <cell r="P526">
            <v>0</v>
          </cell>
          <cell r="T526">
            <v>39064</v>
          </cell>
        </row>
        <row r="527">
          <cell r="D527" t="str">
            <v>Desenho De Detalhamento</v>
          </cell>
          <cell r="E527" t="str">
            <v>12 dias</v>
          </cell>
          <cell r="F527">
            <v>38904.375</v>
          </cell>
          <cell r="G527">
            <v>39045.333333333336</v>
          </cell>
          <cell r="H527" t="str">
            <v>NA</v>
          </cell>
          <cell r="I527">
            <v>38922.375</v>
          </cell>
          <cell r="J527">
            <v>39062.729166666664</v>
          </cell>
          <cell r="K527" t="str">
            <v>NA</v>
          </cell>
          <cell r="L527">
            <v>0.17</v>
          </cell>
          <cell r="M527">
            <v>4</v>
          </cell>
          <cell r="N527">
            <v>0</v>
          </cell>
          <cell r="O527">
            <v>0</v>
          </cell>
          <cell r="P527">
            <v>0</v>
          </cell>
          <cell r="R527">
            <v>528</v>
          </cell>
          <cell r="T527">
            <v>39062</v>
          </cell>
        </row>
        <row r="528">
          <cell r="B528" t="str">
            <v>DE.410.DD.01</v>
          </cell>
          <cell r="D528" t="str">
            <v>Iluminação</v>
          </cell>
          <cell r="E528" t="str">
            <v>6 dias</v>
          </cell>
          <cell r="F528">
            <v>38904.375</v>
          </cell>
          <cell r="G528">
            <v>39045.333333333336</v>
          </cell>
          <cell r="H528" t="str">
            <v>NA</v>
          </cell>
          <cell r="I528">
            <v>38912.375</v>
          </cell>
          <cell r="J528">
            <v>39052.729166666664</v>
          </cell>
          <cell r="K528" t="str">
            <v>NA</v>
          </cell>
          <cell r="L528">
            <v>0.09</v>
          </cell>
          <cell r="M528">
            <v>2</v>
          </cell>
          <cell r="N528">
            <v>0</v>
          </cell>
          <cell r="O528">
            <v>0</v>
          </cell>
          <cell r="P528">
            <v>0</v>
          </cell>
          <cell r="Q528">
            <v>520</v>
          </cell>
          <cell r="R528">
            <v>527</v>
          </cell>
          <cell r="S528" t="str">
            <v>EQUIPE ELE</v>
          </cell>
          <cell r="T528">
            <v>39052</v>
          </cell>
        </row>
        <row r="529">
          <cell r="B529" t="str">
            <v>DE.410.DD.02</v>
          </cell>
          <cell r="D529" t="str">
            <v>Eletrodutos</v>
          </cell>
          <cell r="E529" t="str">
            <v>6 dias</v>
          </cell>
          <cell r="F529">
            <v>38912.375</v>
          </cell>
          <cell r="G529">
            <v>39055.333333333336</v>
          </cell>
          <cell r="H529" t="str">
            <v>NA</v>
          </cell>
          <cell r="I529">
            <v>38922.375</v>
          </cell>
          <cell r="J529">
            <v>39062.729166666664</v>
          </cell>
          <cell r="K529" t="str">
            <v>NA</v>
          </cell>
          <cell r="L529">
            <v>0.09</v>
          </cell>
          <cell r="M529">
            <v>2</v>
          </cell>
          <cell r="N529">
            <v>0</v>
          </cell>
          <cell r="O529">
            <v>0</v>
          </cell>
          <cell r="P529">
            <v>0</v>
          </cell>
          <cell r="Q529">
            <v>526</v>
          </cell>
          <cell r="S529" t="str">
            <v>EQUIPE ELE</v>
          </cell>
          <cell r="T529">
            <v>39062</v>
          </cell>
        </row>
        <row r="530">
          <cell r="B530" t="str">
            <v>DE.410.LC.01</v>
          </cell>
          <cell r="D530" t="str">
            <v>Lista De Linhas/ Cabos</v>
          </cell>
          <cell r="E530" t="str">
            <v>2 dias</v>
          </cell>
          <cell r="F530">
            <v>38922.375</v>
          </cell>
          <cell r="G530">
            <v>39063.333333333336</v>
          </cell>
          <cell r="H530" t="str">
            <v>NA</v>
          </cell>
          <cell r="I530">
            <v>38924.375</v>
          </cell>
          <cell r="J530">
            <v>39064.729166666664</v>
          </cell>
          <cell r="K530" t="str">
            <v>NA</v>
          </cell>
          <cell r="L530">
            <v>0.02</v>
          </cell>
          <cell r="M530">
            <v>0.38</v>
          </cell>
          <cell r="N530">
            <v>0</v>
          </cell>
          <cell r="O530">
            <v>0</v>
          </cell>
          <cell r="P530">
            <v>0</v>
          </cell>
          <cell r="Q530">
            <v>525</v>
          </cell>
          <cell r="S530" t="str">
            <v>EQUIPE ELE</v>
          </cell>
          <cell r="T530">
            <v>39064</v>
          </cell>
        </row>
        <row r="531">
          <cell r="B531" t="str">
            <v>1.3.3</v>
          </cell>
          <cell r="C531" t="str">
            <v>420A</v>
          </cell>
          <cell r="D531" t="str">
            <v>Vestiários</v>
          </cell>
          <cell r="E531" t="str">
            <v>25 dias</v>
          </cell>
          <cell r="F531">
            <v>38860.375</v>
          </cell>
          <cell r="G531">
            <v>39022.333333333336</v>
          </cell>
          <cell r="H531" t="str">
            <v>NA</v>
          </cell>
          <cell r="I531">
            <v>38901.375</v>
          </cell>
          <cell r="J531">
            <v>39059.729166666664</v>
          </cell>
          <cell r="K531" t="str">
            <v>NA</v>
          </cell>
          <cell r="L531">
            <v>0.52</v>
          </cell>
          <cell r="M531">
            <v>12</v>
          </cell>
          <cell r="N531">
            <v>0</v>
          </cell>
          <cell r="O531">
            <v>0</v>
          </cell>
          <cell r="P531">
            <v>0</v>
          </cell>
          <cell r="T531">
            <v>39059</v>
          </cell>
        </row>
        <row r="532">
          <cell r="D532" t="str">
            <v>Projeto Detalhado</v>
          </cell>
          <cell r="E532" t="str">
            <v>25 dias</v>
          </cell>
          <cell r="F532">
            <v>38874.375</v>
          </cell>
          <cell r="G532">
            <v>39022.333333333336</v>
          </cell>
          <cell r="H532" t="str">
            <v>NA</v>
          </cell>
          <cell r="I532">
            <v>38901.375</v>
          </cell>
          <cell r="J532">
            <v>39059.729166666664</v>
          </cell>
          <cell r="K532" t="str">
            <v>NA</v>
          </cell>
          <cell r="L532">
            <v>0.52</v>
          </cell>
          <cell r="M532">
            <v>12</v>
          </cell>
          <cell r="N532">
            <v>0</v>
          </cell>
          <cell r="O532">
            <v>0</v>
          </cell>
          <cell r="P532">
            <v>0</v>
          </cell>
          <cell r="T532">
            <v>39059</v>
          </cell>
        </row>
        <row r="533">
          <cell r="D533" t="str">
            <v>Civil</v>
          </cell>
          <cell r="E533" t="str">
            <v>21 dias</v>
          </cell>
          <cell r="F533">
            <v>38874.375</v>
          </cell>
          <cell r="G533">
            <v>39022.333333333336</v>
          </cell>
          <cell r="H533" t="str">
            <v>NA</v>
          </cell>
          <cell r="I533">
            <v>38891.375</v>
          </cell>
          <cell r="J533">
            <v>39055.729166666664</v>
          </cell>
          <cell r="K533" t="str">
            <v>NA</v>
          </cell>
          <cell r="L533">
            <v>0.48</v>
          </cell>
          <cell r="M533">
            <v>11</v>
          </cell>
          <cell r="N533">
            <v>0</v>
          </cell>
          <cell r="O533">
            <v>0</v>
          </cell>
          <cell r="P533">
            <v>0</v>
          </cell>
          <cell r="T533">
            <v>39055</v>
          </cell>
        </row>
        <row r="534">
          <cell r="D534" t="str">
            <v>Desenho De Detalhamento</v>
          </cell>
          <cell r="E534" t="str">
            <v>21 dias</v>
          </cell>
          <cell r="F534">
            <v>38874.375</v>
          </cell>
          <cell r="G534">
            <v>39022.333333333336</v>
          </cell>
          <cell r="H534" t="str">
            <v>NA</v>
          </cell>
          <cell r="I534">
            <v>38891.375</v>
          </cell>
          <cell r="J534">
            <v>39055.729166666664</v>
          </cell>
          <cell r="K534" t="str">
            <v>NA</v>
          </cell>
          <cell r="L534">
            <v>0.48</v>
          </cell>
          <cell r="M534">
            <v>11</v>
          </cell>
          <cell r="N534">
            <v>0</v>
          </cell>
          <cell r="O534">
            <v>0</v>
          </cell>
          <cell r="P534">
            <v>0</v>
          </cell>
          <cell r="R534">
            <v>537</v>
          </cell>
          <cell r="T534">
            <v>39055</v>
          </cell>
        </row>
        <row r="535">
          <cell r="B535" t="str">
            <v>DC.420.DD.01</v>
          </cell>
          <cell r="D535" t="str">
            <v>Fundação</v>
          </cell>
          <cell r="E535" t="str">
            <v>6 dias</v>
          </cell>
          <cell r="F535">
            <v>38874.375</v>
          </cell>
          <cell r="G535">
            <v>39041.333333333336</v>
          </cell>
          <cell r="H535" t="str">
            <v>NA</v>
          </cell>
          <cell r="I535">
            <v>38882.375</v>
          </cell>
          <cell r="J535">
            <v>39048.729166666664</v>
          </cell>
          <cell r="K535" t="str">
            <v>NA</v>
          </cell>
          <cell r="L535">
            <v>0.13</v>
          </cell>
          <cell r="M535">
            <v>3</v>
          </cell>
          <cell r="N535">
            <v>0</v>
          </cell>
          <cell r="O535">
            <v>0</v>
          </cell>
          <cell r="P535">
            <v>0</v>
          </cell>
          <cell r="Q535">
            <v>535</v>
          </cell>
          <cell r="R535">
            <v>534</v>
          </cell>
          <cell r="S535" t="str">
            <v>EQUIPE CIV</v>
          </cell>
          <cell r="T535">
            <v>39048</v>
          </cell>
        </row>
        <row r="536">
          <cell r="B536" t="str">
            <v>DC.420.DD.02</v>
          </cell>
          <cell r="D536" t="str">
            <v>Lajes</v>
          </cell>
          <cell r="E536" t="str">
            <v>5 dias</v>
          </cell>
          <cell r="F536">
            <v>38882.375</v>
          </cell>
          <cell r="G536">
            <v>39049.333333333336</v>
          </cell>
          <cell r="H536" t="str">
            <v>NA</v>
          </cell>
          <cell r="I536">
            <v>38891.375</v>
          </cell>
          <cell r="J536">
            <v>39055.729166666664</v>
          </cell>
          <cell r="K536" t="str">
            <v>NA</v>
          </cell>
          <cell r="L536">
            <v>0.09</v>
          </cell>
          <cell r="M536">
            <v>2</v>
          </cell>
          <cell r="N536">
            <v>0</v>
          </cell>
          <cell r="O536">
            <v>0</v>
          </cell>
          <cell r="P536">
            <v>0</v>
          </cell>
          <cell r="Q536">
            <v>533</v>
          </cell>
          <cell r="S536" t="str">
            <v>EQUIPE CIV</v>
          </cell>
          <cell r="T536">
            <v>39055</v>
          </cell>
        </row>
        <row r="537">
          <cell r="B537" t="str">
            <v>DC.420.DD.03</v>
          </cell>
          <cell r="D537" t="str">
            <v>Arquitetura</v>
          </cell>
          <cell r="E537" t="str">
            <v>10 dias</v>
          </cell>
          <cell r="F537" t="str">
            <v>NA</v>
          </cell>
          <cell r="G537">
            <v>39022.333333333336</v>
          </cell>
          <cell r="H537" t="str">
            <v>NA</v>
          </cell>
          <cell r="I537" t="str">
            <v>NA</v>
          </cell>
          <cell r="J537">
            <v>39038.729166666664</v>
          </cell>
          <cell r="K537" t="str">
            <v>NA</v>
          </cell>
          <cell r="L537">
            <v>0.26</v>
          </cell>
          <cell r="M537">
            <v>6</v>
          </cell>
          <cell r="N537">
            <v>0</v>
          </cell>
          <cell r="O537">
            <v>0</v>
          </cell>
          <cell r="P537">
            <v>0</v>
          </cell>
          <cell r="Q537">
            <v>471</v>
          </cell>
          <cell r="R537">
            <v>533</v>
          </cell>
          <cell r="S537" t="str">
            <v>EQUIPE ARQ</v>
          </cell>
          <cell r="T537">
            <v>39038</v>
          </cell>
        </row>
        <row r="538">
          <cell r="D538" t="str">
            <v>Elétrica</v>
          </cell>
          <cell r="E538" t="str">
            <v>4 dias</v>
          </cell>
          <cell r="F538">
            <v>38891.375</v>
          </cell>
          <cell r="G538">
            <v>39056.333333333336</v>
          </cell>
          <cell r="H538" t="str">
            <v>NA</v>
          </cell>
          <cell r="I538">
            <v>38901.375</v>
          </cell>
          <cell r="J538">
            <v>39059.729166666664</v>
          </cell>
          <cell r="K538" t="str">
            <v>NA</v>
          </cell>
          <cell r="L538">
            <v>0.04</v>
          </cell>
          <cell r="M538">
            <v>1</v>
          </cell>
          <cell r="N538">
            <v>0</v>
          </cell>
          <cell r="O538">
            <v>0</v>
          </cell>
          <cell r="P538">
            <v>0</v>
          </cell>
          <cell r="T538">
            <v>39059</v>
          </cell>
        </row>
        <row r="539">
          <cell r="B539" t="str">
            <v>DE.420.DD.01</v>
          </cell>
          <cell r="D539" t="str">
            <v>Desenho De Detalhamento - Iluminação</v>
          </cell>
          <cell r="E539" t="str">
            <v>4 dias</v>
          </cell>
          <cell r="F539">
            <v>38891.375</v>
          </cell>
          <cell r="G539">
            <v>39056.333333333336</v>
          </cell>
          <cell r="H539" t="str">
            <v>NA</v>
          </cell>
          <cell r="I539">
            <v>38897.375</v>
          </cell>
          <cell r="J539">
            <v>39059.729166666664</v>
          </cell>
          <cell r="K539" t="str">
            <v>NA</v>
          </cell>
          <cell r="L539">
            <v>0.04</v>
          </cell>
          <cell r="M539">
            <v>1</v>
          </cell>
          <cell r="N539">
            <v>0</v>
          </cell>
          <cell r="O539">
            <v>0</v>
          </cell>
          <cell r="P539">
            <v>0</v>
          </cell>
          <cell r="Q539">
            <v>532</v>
          </cell>
          <cell r="S539" t="str">
            <v>EQUIPE ELE</v>
          </cell>
          <cell r="T539">
            <v>39059</v>
          </cell>
        </row>
        <row r="540">
          <cell r="B540" t="str">
            <v>1.3.4</v>
          </cell>
          <cell r="C540" t="str">
            <v>430A</v>
          </cell>
          <cell r="D540" t="str">
            <v>Restaurante</v>
          </cell>
          <cell r="E540" t="str">
            <v>30 dias</v>
          </cell>
          <cell r="F540">
            <v>38867.375</v>
          </cell>
          <cell r="G540">
            <v>39022.333333333336</v>
          </cell>
          <cell r="H540" t="str">
            <v>NA</v>
          </cell>
          <cell r="I540">
            <v>38966.375</v>
          </cell>
          <cell r="J540">
            <v>39066.729166666664</v>
          </cell>
          <cell r="K540" t="str">
            <v>NA</v>
          </cell>
          <cell r="L540">
            <v>1.66</v>
          </cell>
          <cell r="M540">
            <v>38</v>
          </cell>
          <cell r="N540">
            <v>0</v>
          </cell>
          <cell r="O540">
            <v>0</v>
          </cell>
          <cell r="P540">
            <v>0</v>
          </cell>
          <cell r="T540">
            <v>39066</v>
          </cell>
        </row>
        <row r="541">
          <cell r="D541" t="str">
            <v>Projeto Detalhado</v>
          </cell>
          <cell r="E541" t="str">
            <v>30 dias</v>
          </cell>
          <cell r="F541">
            <v>38888.375</v>
          </cell>
          <cell r="G541">
            <v>39022.333333333336</v>
          </cell>
          <cell r="H541" t="str">
            <v>NA</v>
          </cell>
          <cell r="I541">
            <v>38966.375</v>
          </cell>
          <cell r="J541">
            <v>39066.729166666664</v>
          </cell>
          <cell r="K541" t="str">
            <v>NA</v>
          </cell>
          <cell r="L541">
            <v>1.66</v>
          </cell>
          <cell r="M541">
            <v>38</v>
          </cell>
          <cell r="N541">
            <v>0</v>
          </cell>
          <cell r="O541">
            <v>0</v>
          </cell>
          <cell r="P541">
            <v>0</v>
          </cell>
          <cell r="T541">
            <v>39066</v>
          </cell>
        </row>
        <row r="542">
          <cell r="D542" t="str">
            <v>Civil</v>
          </cell>
          <cell r="E542" t="str">
            <v>30 dias</v>
          </cell>
          <cell r="F542">
            <v>38888.375</v>
          </cell>
          <cell r="G542">
            <v>39022.333333333336</v>
          </cell>
          <cell r="H542" t="str">
            <v>NA</v>
          </cell>
          <cell r="I542">
            <v>38932.375</v>
          </cell>
          <cell r="J542">
            <v>39066.729166666664</v>
          </cell>
          <cell r="K542" t="str">
            <v>NA</v>
          </cell>
          <cell r="L542">
            <v>1.4</v>
          </cell>
          <cell r="M542">
            <v>32</v>
          </cell>
          <cell r="N542">
            <v>0</v>
          </cell>
          <cell r="O542">
            <v>0</v>
          </cell>
          <cell r="P542">
            <v>0</v>
          </cell>
          <cell r="T542">
            <v>39066</v>
          </cell>
        </row>
        <row r="543">
          <cell r="D543" t="str">
            <v>Desenho De Detalhamento</v>
          </cell>
          <cell r="E543" t="str">
            <v>30 dias</v>
          </cell>
          <cell r="F543">
            <v>38888.375</v>
          </cell>
          <cell r="G543">
            <v>39022.333333333336</v>
          </cell>
          <cell r="H543" t="str">
            <v>NA</v>
          </cell>
          <cell r="I543">
            <v>38932.375</v>
          </cell>
          <cell r="J543">
            <v>39066.729166666664</v>
          </cell>
          <cell r="K543" t="str">
            <v>NA</v>
          </cell>
          <cell r="L543">
            <v>1.4</v>
          </cell>
          <cell r="M543">
            <v>32</v>
          </cell>
          <cell r="N543">
            <v>0</v>
          </cell>
          <cell r="O543">
            <v>0</v>
          </cell>
          <cell r="P543">
            <v>0</v>
          </cell>
          <cell r="T543">
            <v>39066</v>
          </cell>
        </row>
        <row r="544">
          <cell r="B544" t="str">
            <v>DC.430.DD.01</v>
          </cell>
          <cell r="D544" t="str">
            <v>Arquitetura</v>
          </cell>
          <cell r="E544" t="str">
            <v>18 dias</v>
          </cell>
          <cell r="F544">
            <v>38888.375</v>
          </cell>
          <cell r="G544">
            <v>39022.333333333336</v>
          </cell>
          <cell r="H544" t="str">
            <v>NA</v>
          </cell>
          <cell r="I544">
            <v>38912.375</v>
          </cell>
          <cell r="J544">
            <v>39050.729166666664</v>
          </cell>
          <cell r="K544" t="str">
            <v>NA</v>
          </cell>
          <cell r="L544">
            <v>0.61</v>
          </cell>
          <cell r="M544">
            <v>14</v>
          </cell>
          <cell r="N544">
            <v>0</v>
          </cell>
          <cell r="O544">
            <v>0</v>
          </cell>
          <cell r="P544">
            <v>0</v>
          </cell>
          <cell r="Q544">
            <v>471</v>
          </cell>
          <cell r="R544" t="str">
            <v>543;546;556</v>
          </cell>
          <cell r="S544" t="str">
            <v>EQUIPE ARQ</v>
          </cell>
          <cell r="T544">
            <v>39050</v>
          </cell>
        </row>
        <row r="545">
          <cell r="B545" t="str">
            <v>DC.430.DD.02</v>
          </cell>
          <cell r="D545" t="str">
            <v>Fundação</v>
          </cell>
          <cell r="E545" t="str">
            <v>5 dias</v>
          </cell>
          <cell r="F545">
            <v>38888.375</v>
          </cell>
          <cell r="G545">
            <v>39051.333333333336</v>
          </cell>
          <cell r="H545" t="str">
            <v>NA</v>
          </cell>
          <cell r="I545">
            <v>38895.375</v>
          </cell>
          <cell r="J545">
            <v>39057.729166666664</v>
          </cell>
          <cell r="K545" t="str">
            <v>NA</v>
          </cell>
          <cell r="L545">
            <v>0.09</v>
          </cell>
          <cell r="M545">
            <v>2</v>
          </cell>
          <cell r="N545">
            <v>0</v>
          </cell>
          <cell r="O545">
            <v>0</v>
          </cell>
          <cell r="P545">
            <v>0</v>
          </cell>
          <cell r="Q545">
            <v>542</v>
          </cell>
          <cell r="R545" t="str">
            <v>544;545;549;550;551</v>
          </cell>
          <cell r="S545" t="str">
            <v>EQUIPE CIV</v>
          </cell>
          <cell r="T545">
            <v>39057</v>
          </cell>
        </row>
        <row r="546">
          <cell r="B546" t="str">
            <v>DC.430.DD.03</v>
          </cell>
          <cell r="D546" t="str">
            <v>Cintas, Sapatas e Pilares</v>
          </cell>
          <cell r="E546" t="str">
            <v>7 dias</v>
          </cell>
          <cell r="F546">
            <v>38895.375</v>
          </cell>
          <cell r="G546">
            <v>39058.333333333336</v>
          </cell>
          <cell r="H546" t="str">
            <v>NA</v>
          </cell>
          <cell r="I546">
            <v>38904.375</v>
          </cell>
          <cell r="J546">
            <v>39066.729166666664</v>
          </cell>
          <cell r="K546" t="str">
            <v>NA</v>
          </cell>
          <cell r="L546">
            <v>0.13</v>
          </cell>
          <cell r="M546">
            <v>3</v>
          </cell>
          <cell r="N546">
            <v>0</v>
          </cell>
          <cell r="O546">
            <v>0</v>
          </cell>
          <cell r="P546">
            <v>0</v>
          </cell>
          <cell r="Q546">
            <v>543</v>
          </cell>
          <cell r="S546" t="str">
            <v>EQUIPE CIV</v>
          </cell>
          <cell r="T546">
            <v>39066</v>
          </cell>
        </row>
        <row r="547">
          <cell r="B547" t="str">
            <v>DC.430.DD.04</v>
          </cell>
          <cell r="D547" t="str">
            <v>Vigas e Lajes</v>
          </cell>
          <cell r="E547" t="str">
            <v>7 dias</v>
          </cell>
          <cell r="F547">
            <v>38904.375</v>
          </cell>
          <cell r="G547">
            <v>39058.333333333336</v>
          </cell>
          <cell r="H547" t="str">
            <v>NA</v>
          </cell>
          <cell r="I547">
            <v>38915.375</v>
          </cell>
          <cell r="J547">
            <v>39066.729166666664</v>
          </cell>
          <cell r="K547" t="str">
            <v>NA</v>
          </cell>
          <cell r="L547">
            <v>0.17</v>
          </cell>
          <cell r="M547">
            <v>4</v>
          </cell>
          <cell r="N547">
            <v>0</v>
          </cell>
          <cell r="O547">
            <v>0</v>
          </cell>
          <cell r="P547">
            <v>0</v>
          </cell>
          <cell r="Q547">
            <v>543</v>
          </cell>
          <cell r="S547" t="str">
            <v>EQUIPE CIV</v>
          </cell>
          <cell r="T547">
            <v>39066</v>
          </cell>
        </row>
        <row r="548">
          <cell r="B548" t="str">
            <v>DC.430.DD.05</v>
          </cell>
          <cell r="D548" t="str">
            <v>Hidrosanitário</v>
          </cell>
          <cell r="E548" t="str">
            <v>12 dias</v>
          </cell>
          <cell r="F548">
            <v>38915.375</v>
          </cell>
          <cell r="G548">
            <v>39051.333333333336</v>
          </cell>
          <cell r="H548" t="str">
            <v>NA</v>
          </cell>
          <cell r="I548">
            <v>38932.375</v>
          </cell>
          <cell r="J548">
            <v>39066.729166666664</v>
          </cell>
          <cell r="K548" t="str">
            <v>NA</v>
          </cell>
          <cell r="L548">
            <v>0.39</v>
          </cell>
          <cell r="M548">
            <v>9</v>
          </cell>
          <cell r="N548">
            <v>0</v>
          </cell>
          <cell r="O548">
            <v>0</v>
          </cell>
          <cell r="P548">
            <v>0</v>
          </cell>
          <cell r="Q548">
            <v>542</v>
          </cell>
          <cell r="S548" t="str">
            <v>EQUIPE CIV</v>
          </cell>
          <cell r="T548">
            <v>39066</v>
          </cell>
        </row>
        <row r="549">
          <cell r="D549" t="str">
            <v>Elétrica</v>
          </cell>
          <cell r="E549" t="str">
            <v>7 dias</v>
          </cell>
          <cell r="F549">
            <v>38932.375</v>
          </cell>
          <cell r="G549">
            <v>39058.333333333336</v>
          </cell>
          <cell r="H549" t="str">
            <v>NA</v>
          </cell>
          <cell r="I549">
            <v>38966.375</v>
          </cell>
          <cell r="J549">
            <v>39066.729166666664</v>
          </cell>
          <cell r="K549" t="str">
            <v>NA</v>
          </cell>
          <cell r="L549">
            <v>0.26</v>
          </cell>
          <cell r="M549">
            <v>6</v>
          </cell>
          <cell r="N549">
            <v>0</v>
          </cell>
          <cell r="O549">
            <v>0</v>
          </cell>
          <cell r="P549">
            <v>0</v>
          </cell>
          <cell r="T549">
            <v>39066</v>
          </cell>
        </row>
        <row r="550">
          <cell r="D550" t="str">
            <v>Desenho De Detalhamento</v>
          </cell>
          <cell r="E550" t="str">
            <v>7 dias</v>
          </cell>
          <cell r="F550">
            <v>38932.375</v>
          </cell>
          <cell r="G550">
            <v>39058.333333333336</v>
          </cell>
          <cell r="H550" t="str">
            <v>NA</v>
          </cell>
          <cell r="I550">
            <v>38960.375</v>
          </cell>
          <cell r="J550">
            <v>39066.729166666664</v>
          </cell>
          <cell r="K550" t="str">
            <v>NA</v>
          </cell>
          <cell r="L550">
            <v>0.26</v>
          </cell>
          <cell r="M550">
            <v>6</v>
          </cell>
          <cell r="N550">
            <v>0</v>
          </cell>
          <cell r="O550">
            <v>0</v>
          </cell>
          <cell r="P550">
            <v>0</v>
          </cell>
          <cell r="T550">
            <v>39066</v>
          </cell>
        </row>
        <row r="551">
          <cell r="B551" t="str">
            <v>DE.430.DD.01</v>
          </cell>
          <cell r="D551" t="str">
            <v>Diagrama Trifilar</v>
          </cell>
          <cell r="E551" t="str">
            <v>4 dias</v>
          </cell>
          <cell r="F551">
            <v>38932.375</v>
          </cell>
          <cell r="G551">
            <v>39058.333333333336</v>
          </cell>
          <cell r="H551" t="str">
            <v>NA</v>
          </cell>
          <cell r="I551">
            <v>38938.375</v>
          </cell>
          <cell r="J551">
            <v>39063.729166666664</v>
          </cell>
          <cell r="K551" t="str">
            <v>NA</v>
          </cell>
          <cell r="L551">
            <v>0.04</v>
          </cell>
          <cell r="M551">
            <v>1</v>
          </cell>
          <cell r="N551">
            <v>0</v>
          </cell>
          <cell r="O551">
            <v>0</v>
          </cell>
          <cell r="P551">
            <v>0</v>
          </cell>
          <cell r="Q551">
            <v>543</v>
          </cell>
          <cell r="S551" t="str">
            <v>EQUIPE ELE</v>
          </cell>
          <cell r="T551">
            <v>39063</v>
          </cell>
        </row>
        <row r="552">
          <cell r="B552" t="str">
            <v>DE.430.DD.02</v>
          </cell>
          <cell r="D552" t="str">
            <v>Iluminação</v>
          </cell>
          <cell r="E552" t="str">
            <v>6 dias</v>
          </cell>
          <cell r="F552">
            <v>38938.375</v>
          </cell>
          <cell r="G552">
            <v>39058.333333333336</v>
          </cell>
          <cell r="H552" t="str">
            <v>NA</v>
          </cell>
          <cell r="I552">
            <v>38950.375</v>
          </cell>
          <cell r="J552">
            <v>39065.729166666664</v>
          </cell>
          <cell r="K552" t="str">
            <v>NA</v>
          </cell>
          <cell r="L552">
            <v>0.09</v>
          </cell>
          <cell r="M552">
            <v>2</v>
          </cell>
          <cell r="N552">
            <v>0</v>
          </cell>
          <cell r="O552">
            <v>0</v>
          </cell>
          <cell r="P552">
            <v>0</v>
          </cell>
          <cell r="Q552">
            <v>543</v>
          </cell>
          <cell r="S552" t="str">
            <v>EQUIPE ELE</v>
          </cell>
          <cell r="T552">
            <v>39065</v>
          </cell>
        </row>
        <row r="553">
          <cell r="B553" t="str">
            <v>DE.430.DD.03</v>
          </cell>
          <cell r="D553" t="str">
            <v>Eletrodutos</v>
          </cell>
          <cell r="E553" t="str">
            <v>7 dias</v>
          </cell>
          <cell r="F553">
            <v>38950.375</v>
          </cell>
          <cell r="G553">
            <v>39058.333333333336</v>
          </cell>
          <cell r="H553" t="str">
            <v>NA</v>
          </cell>
          <cell r="I553">
            <v>38960.375</v>
          </cell>
          <cell r="J553">
            <v>39066.729166666664</v>
          </cell>
          <cell r="K553" t="str">
            <v>NA</v>
          </cell>
          <cell r="L553">
            <v>0.13</v>
          </cell>
          <cell r="M553">
            <v>3</v>
          </cell>
          <cell r="N553">
            <v>0</v>
          </cell>
          <cell r="O553">
            <v>0</v>
          </cell>
          <cell r="P553">
            <v>0</v>
          </cell>
          <cell r="Q553">
            <v>543</v>
          </cell>
          <cell r="S553" t="str">
            <v>EQUIPE ELE</v>
          </cell>
          <cell r="T553">
            <v>39066</v>
          </cell>
        </row>
        <row r="554">
          <cell r="B554" t="str">
            <v>1.3.5</v>
          </cell>
          <cell r="C554" t="str">
            <v>440A</v>
          </cell>
          <cell r="D554" t="str">
            <v>Portaria e Segurança Patrimonial</v>
          </cell>
          <cell r="E554" t="str">
            <v>12 dias</v>
          </cell>
          <cell r="F554">
            <v>38877.375</v>
          </cell>
          <cell r="G554">
            <v>39051.333333333336</v>
          </cell>
          <cell r="H554" t="str">
            <v>NA</v>
          </cell>
          <cell r="I554">
            <v>38922.375</v>
          </cell>
          <cell r="J554">
            <v>39066.729166666664</v>
          </cell>
          <cell r="K554" t="str">
            <v>NA</v>
          </cell>
          <cell r="L554">
            <v>0.22</v>
          </cell>
          <cell r="M554">
            <v>5</v>
          </cell>
          <cell r="N554">
            <v>0</v>
          </cell>
          <cell r="O554">
            <v>0</v>
          </cell>
          <cell r="P554">
            <v>0</v>
          </cell>
          <cell r="T554">
            <v>39066</v>
          </cell>
        </row>
        <row r="555">
          <cell r="D555" t="str">
            <v>Projeto Detalhado</v>
          </cell>
          <cell r="E555" t="str">
            <v>12 dias</v>
          </cell>
          <cell r="F555">
            <v>38895.375</v>
          </cell>
          <cell r="G555">
            <v>39051.333333333336</v>
          </cell>
          <cell r="H555" t="str">
            <v>NA</v>
          </cell>
          <cell r="I555">
            <v>38922.375</v>
          </cell>
          <cell r="J555">
            <v>39066.729166666664</v>
          </cell>
          <cell r="K555" t="str">
            <v>NA</v>
          </cell>
          <cell r="L555">
            <v>0.22</v>
          </cell>
          <cell r="M555">
            <v>5</v>
          </cell>
          <cell r="N555">
            <v>0</v>
          </cell>
          <cell r="O555">
            <v>0</v>
          </cell>
          <cell r="P555">
            <v>0</v>
          </cell>
          <cell r="T555">
            <v>39066</v>
          </cell>
        </row>
        <row r="556">
          <cell r="D556" t="str">
            <v>Civil</v>
          </cell>
          <cell r="E556" t="str">
            <v>4 dias</v>
          </cell>
          <cell r="F556">
            <v>38895.375</v>
          </cell>
          <cell r="G556">
            <v>39051.333333333336</v>
          </cell>
          <cell r="H556" t="str">
            <v>NA</v>
          </cell>
          <cell r="I556">
            <v>38905.375</v>
          </cell>
          <cell r="J556">
            <v>39056.729166666664</v>
          </cell>
          <cell r="K556" t="str">
            <v>NA</v>
          </cell>
          <cell r="L556">
            <v>0.13</v>
          </cell>
          <cell r="M556">
            <v>3</v>
          </cell>
          <cell r="N556">
            <v>0</v>
          </cell>
          <cell r="O556">
            <v>0</v>
          </cell>
          <cell r="P556">
            <v>0</v>
          </cell>
          <cell r="T556">
            <v>39056</v>
          </cell>
        </row>
        <row r="557">
          <cell r="D557" t="str">
            <v>Desenho De Detalhamento</v>
          </cell>
          <cell r="E557" t="str">
            <v>4 dias</v>
          </cell>
          <cell r="F557">
            <v>38895.375</v>
          </cell>
          <cell r="G557">
            <v>39051.333333333336</v>
          </cell>
          <cell r="H557" t="str">
            <v>NA</v>
          </cell>
          <cell r="I557">
            <v>38905.375</v>
          </cell>
          <cell r="J557">
            <v>39056.729166666664</v>
          </cell>
          <cell r="K557" t="str">
            <v>NA</v>
          </cell>
          <cell r="L557">
            <v>0.13</v>
          </cell>
          <cell r="M557">
            <v>3</v>
          </cell>
          <cell r="N557">
            <v>0</v>
          </cell>
          <cell r="O557">
            <v>0</v>
          </cell>
          <cell r="P557">
            <v>0</v>
          </cell>
          <cell r="R557">
            <v>559</v>
          </cell>
          <cell r="T557">
            <v>39056</v>
          </cell>
        </row>
        <row r="558">
          <cell r="B558" t="str">
            <v>DC.440.DD.01</v>
          </cell>
          <cell r="D558" t="str">
            <v>Arquitetura</v>
          </cell>
          <cell r="E558" t="str">
            <v>4 dias</v>
          </cell>
          <cell r="F558">
            <v>38895.375</v>
          </cell>
          <cell r="G558">
            <v>39051.333333333336</v>
          </cell>
          <cell r="H558" t="str">
            <v>NA</v>
          </cell>
          <cell r="I558">
            <v>38901.375</v>
          </cell>
          <cell r="J558">
            <v>39056.729166666664</v>
          </cell>
          <cell r="K558" t="str">
            <v>NA</v>
          </cell>
          <cell r="L558">
            <v>0.13</v>
          </cell>
          <cell r="M558">
            <v>3</v>
          </cell>
          <cell r="N558">
            <v>0</v>
          </cell>
          <cell r="O558">
            <v>0</v>
          </cell>
          <cell r="P558">
            <v>0</v>
          </cell>
          <cell r="Q558">
            <v>542</v>
          </cell>
          <cell r="S558" t="str">
            <v>EQUIPE ARQ</v>
          </cell>
          <cell r="T558">
            <v>39056</v>
          </cell>
        </row>
        <row r="559">
          <cell r="D559" t="str">
            <v>Elétrica</v>
          </cell>
          <cell r="E559" t="str">
            <v>8 dias</v>
          </cell>
          <cell r="F559">
            <v>38905.375</v>
          </cell>
          <cell r="G559">
            <v>39057.333333333336</v>
          </cell>
          <cell r="H559" t="str">
            <v>NA</v>
          </cell>
          <cell r="I559">
            <v>38922.375</v>
          </cell>
          <cell r="J559">
            <v>39066.729166666664</v>
          </cell>
          <cell r="K559" t="str">
            <v>NA</v>
          </cell>
          <cell r="L559">
            <v>0.09</v>
          </cell>
          <cell r="M559">
            <v>2</v>
          </cell>
          <cell r="N559">
            <v>0</v>
          </cell>
          <cell r="O559">
            <v>0</v>
          </cell>
          <cell r="P559">
            <v>0</v>
          </cell>
          <cell r="T559">
            <v>39066</v>
          </cell>
        </row>
        <row r="560">
          <cell r="D560" t="str">
            <v>Desenho De Detalhamento</v>
          </cell>
          <cell r="E560" t="str">
            <v>8 dias</v>
          </cell>
          <cell r="F560">
            <v>38905.375</v>
          </cell>
          <cell r="G560">
            <v>39057.333333333336</v>
          </cell>
          <cell r="H560" t="str">
            <v>NA</v>
          </cell>
          <cell r="I560">
            <v>38917.375</v>
          </cell>
          <cell r="J560">
            <v>39066.729166666664</v>
          </cell>
          <cell r="K560" t="str">
            <v>NA</v>
          </cell>
          <cell r="L560">
            <v>0.09</v>
          </cell>
          <cell r="M560">
            <v>2</v>
          </cell>
          <cell r="N560">
            <v>0</v>
          </cell>
          <cell r="O560">
            <v>0</v>
          </cell>
          <cell r="P560">
            <v>0</v>
          </cell>
          <cell r="T560">
            <v>39066</v>
          </cell>
        </row>
        <row r="561">
          <cell r="B561" t="str">
            <v>DE.440.DD.01</v>
          </cell>
          <cell r="D561" t="str">
            <v>Diagrama Trifilar</v>
          </cell>
          <cell r="E561" t="str">
            <v>4 dias</v>
          </cell>
          <cell r="F561">
            <v>38905.375</v>
          </cell>
          <cell r="G561">
            <v>39057.333333333336</v>
          </cell>
          <cell r="H561" t="str">
            <v>NA</v>
          </cell>
          <cell r="I561">
            <v>38911.375</v>
          </cell>
          <cell r="J561">
            <v>39062.729166666664</v>
          </cell>
          <cell r="K561" t="str">
            <v>NA</v>
          </cell>
          <cell r="L561">
            <v>0.04</v>
          </cell>
          <cell r="M561">
            <v>1</v>
          </cell>
          <cell r="N561">
            <v>0</v>
          </cell>
          <cell r="O561">
            <v>0</v>
          </cell>
          <cell r="P561">
            <v>0</v>
          </cell>
          <cell r="Q561">
            <v>555</v>
          </cell>
          <cell r="R561">
            <v>560</v>
          </cell>
          <cell r="S561" t="str">
            <v>EQUIPE ELE</v>
          </cell>
          <cell r="T561">
            <v>39062</v>
          </cell>
        </row>
        <row r="562">
          <cell r="B562" t="str">
            <v>DE.440.DD.02</v>
          </cell>
          <cell r="D562" t="str">
            <v>Eletrodutos</v>
          </cell>
          <cell r="E562" t="str">
            <v>4 dias</v>
          </cell>
          <cell r="F562">
            <v>38911.375</v>
          </cell>
          <cell r="G562">
            <v>39063.333333333336</v>
          </cell>
          <cell r="H562" t="str">
            <v>NA</v>
          </cell>
          <cell r="I562">
            <v>38917.375</v>
          </cell>
          <cell r="J562">
            <v>39066.729166666664</v>
          </cell>
          <cell r="K562" t="str">
            <v>NA</v>
          </cell>
          <cell r="L562">
            <v>0.04</v>
          </cell>
          <cell r="M562">
            <v>1</v>
          </cell>
          <cell r="N562">
            <v>0</v>
          </cell>
          <cell r="O562">
            <v>0</v>
          </cell>
          <cell r="P562">
            <v>0</v>
          </cell>
          <cell r="Q562">
            <v>559</v>
          </cell>
          <cell r="S562" t="str">
            <v>EQUIPE ELE</v>
          </cell>
          <cell r="T562">
            <v>39066</v>
          </cell>
        </row>
        <row r="563">
          <cell r="B563" t="str">
            <v>1.3.6</v>
          </cell>
          <cell r="C563" t="str">
            <v>450A</v>
          </cell>
          <cell r="D563" t="str">
            <v>SESMT e Corpo de Bombeiros</v>
          </cell>
          <cell r="E563" t="str">
            <v>26 dias</v>
          </cell>
          <cell r="F563">
            <v>38877.375</v>
          </cell>
          <cell r="G563">
            <v>39022.333333333336</v>
          </cell>
          <cell r="H563" t="str">
            <v>NA</v>
          </cell>
          <cell r="I563">
            <v>38933.375</v>
          </cell>
          <cell r="J563">
            <v>39062.729166666664</v>
          </cell>
          <cell r="K563" t="str">
            <v>NA</v>
          </cell>
          <cell r="L563">
            <v>0.7</v>
          </cell>
          <cell r="M563">
            <v>16</v>
          </cell>
          <cell r="N563">
            <v>0</v>
          </cell>
          <cell r="O563">
            <v>0</v>
          </cell>
          <cell r="P563">
            <v>0</v>
          </cell>
          <cell r="T563">
            <v>39062</v>
          </cell>
        </row>
        <row r="564">
          <cell r="D564" t="str">
            <v>Projeto Detalhado</v>
          </cell>
          <cell r="E564" t="str">
            <v>26 dias</v>
          </cell>
          <cell r="F564">
            <v>38895.375</v>
          </cell>
          <cell r="G564">
            <v>39022.333333333336</v>
          </cell>
          <cell r="H564" t="str">
            <v>NA</v>
          </cell>
          <cell r="I564">
            <v>38933.375</v>
          </cell>
          <cell r="J564">
            <v>39062.729166666664</v>
          </cell>
          <cell r="K564" t="str">
            <v>NA</v>
          </cell>
          <cell r="L564">
            <v>0.7</v>
          </cell>
          <cell r="M564">
            <v>16</v>
          </cell>
          <cell r="N564">
            <v>0</v>
          </cell>
          <cell r="O564">
            <v>0</v>
          </cell>
          <cell r="P564">
            <v>0</v>
          </cell>
          <cell r="T564">
            <v>39062</v>
          </cell>
        </row>
        <row r="565">
          <cell r="D565" t="str">
            <v>Civil</v>
          </cell>
          <cell r="E565" t="str">
            <v>26 dias</v>
          </cell>
          <cell r="F565">
            <v>38895.375</v>
          </cell>
          <cell r="G565">
            <v>39022.333333333336</v>
          </cell>
          <cell r="H565" t="str">
            <v>NA</v>
          </cell>
          <cell r="I565">
            <v>38918.375</v>
          </cell>
          <cell r="J565">
            <v>39062.729166666664</v>
          </cell>
          <cell r="K565" t="str">
            <v>NA</v>
          </cell>
          <cell r="L565">
            <v>0.61</v>
          </cell>
          <cell r="M565">
            <v>14</v>
          </cell>
          <cell r="N565">
            <v>0</v>
          </cell>
          <cell r="O565">
            <v>0</v>
          </cell>
          <cell r="P565">
            <v>0</v>
          </cell>
          <cell r="T565">
            <v>39062</v>
          </cell>
        </row>
        <row r="566">
          <cell r="D566" t="str">
            <v>Desenho De Detalhamento</v>
          </cell>
          <cell r="E566" t="str">
            <v>26 dias</v>
          </cell>
          <cell r="F566">
            <v>38895.375</v>
          </cell>
          <cell r="G566">
            <v>39022.333333333336</v>
          </cell>
          <cell r="H566" t="str">
            <v>NA</v>
          </cell>
          <cell r="I566">
            <v>38918.375</v>
          </cell>
          <cell r="J566">
            <v>39062.729166666664</v>
          </cell>
          <cell r="K566" t="str">
            <v>NA</v>
          </cell>
          <cell r="L566">
            <v>0.61</v>
          </cell>
          <cell r="M566">
            <v>14</v>
          </cell>
          <cell r="N566">
            <v>0</v>
          </cell>
          <cell r="O566">
            <v>0</v>
          </cell>
          <cell r="P566">
            <v>0</v>
          </cell>
          <cell r="T566">
            <v>39062</v>
          </cell>
        </row>
        <row r="567">
          <cell r="B567" t="str">
            <v>DC.450.DD.01</v>
          </cell>
          <cell r="D567" t="str">
            <v>Arquitetura</v>
          </cell>
          <cell r="E567" t="str">
            <v>9 dias</v>
          </cell>
          <cell r="F567">
            <v>38895.375</v>
          </cell>
          <cell r="G567">
            <v>39022.333333333336</v>
          </cell>
          <cell r="H567" t="str">
            <v>NA</v>
          </cell>
          <cell r="I567">
            <v>38908.375</v>
          </cell>
          <cell r="J567">
            <v>39037.729166666664</v>
          </cell>
          <cell r="K567" t="str">
            <v>NA</v>
          </cell>
          <cell r="L567">
            <v>0.26</v>
          </cell>
          <cell r="M567">
            <v>6</v>
          </cell>
          <cell r="N567">
            <v>0</v>
          </cell>
          <cell r="O567">
            <v>0</v>
          </cell>
          <cell r="P567">
            <v>0</v>
          </cell>
          <cell r="Q567">
            <v>471</v>
          </cell>
          <cell r="R567">
            <v>566</v>
          </cell>
          <cell r="S567" t="str">
            <v>EQUIPE ARQ</v>
          </cell>
          <cell r="T567">
            <v>39037</v>
          </cell>
        </row>
        <row r="568">
          <cell r="B568" t="str">
            <v>DC.450.DD.02</v>
          </cell>
          <cell r="D568" t="str">
            <v>Fundação</v>
          </cell>
          <cell r="E568" t="str">
            <v>7 dias</v>
          </cell>
          <cell r="F568">
            <v>38895.375</v>
          </cell>
          <cell r="G568">
            <v>39038.333333333336</v>
          </cell>
          <cell r="H568" t="str">
            <v>NA</v>
          </cell>
          <cell r="I568">
            <v>38904.375</v>
          </cell>
          <cell r="J568">
            <v>39048.729166666664</v>
          </cell>
          <cell r="K568" t="str">
            <v>NA</v>
          </cell>
          <cell r="L568">
            <v>0.17</v>
          </cell>
          <cell r="M568">
            <v>4</v>
          </cell>
          <cell r="N568">
            <v>0</v>
          </cell>
          <cell r="O568">
            <v>0</v>
          </cell>
          <cell r="P568">
            <v>0</v>
          </cell>
          <cell r="Q568">
            <v>565</v>
          </cell>
          <cell r="R568" t="str">
            <v>567;571</v>
          </cell>
          <cell r="S568" t="str">
            <v>EQUIPE CIV</v>
          </cell>
          <cell r="T568">
            <v>39048</v>
          </cell>
        </row>
        <row r="569">
          <cell r="B569" t="str">
            <v>DC.450.DD.03</v>
          </cell>
          <cell r="D569" t="str">
            <v>Vigas e Lajes</v>
          </cell>
          <cell r="E569" t="str">
            <v>4 dias</v>
          </cell>
          <cell r="F569">
            <v>38904.375</v>
          </cell>
          <cell r="G569">
            <v>39049.333333333336</v>
          </cell>
          <cell r="H569" t="str">
            <v>NA</v>
          </cell>
          <cell r="I569">
            <v>38910.375</v>
          </cell>
          <cell r="J569">
            <v>39052.729166666664</v>
          </cell>
          <cell r="K569" t="str">
            <v>NA</v>
          </cell>
          <cell r="L569">
            <v>0.04</v>
          </cell>
          <cell r="M569">
            <v>1</v>
          </cell>
          <cell r="N569">
            <v>0</v>
          </cell>
          <cell r="O569">
            <v>0</v>
          </cell>
          <cell r="P569">
            <v>0</v>
          </cell>
          <cell r="Q569">
            <v>566</v>
          </cell>
          <cell r="R569">
            <v>568</v>
          </cell>
          <cell r="S569" t="str">
            <v>EQUIPE CIV</v>
          </cell>
          <cell r="T569">
            <v>39052</v>
          </cell>
        </row>
        <row r="570">
          <cell r="B570" t="str">
            <v>DC.450.DD.04</v>
          </cell>
          <cell r="D570" t="str">
            <v>Hidrosanitário</v>
          </cell>
          <cell r="E570" t="str">
            <v>6 dias</v>
          </cell>
          <cell r="F570">
            <v>38910.375</v>
          </cell>
          <cell r="G570">
            <v>39055.333333333336</v>
          </cell>
          <cell r="H570" t="str">
            <v>NA</v>
          </cell>
          <cell r="I570">
            <v>38918.375</v>
          </cell>
          <cell r="J570">
            <v>39062.729166666664</v>
          </cell>
          <cell r="K570" t="str">
            <v>NA</v>
          </cell>
          <cell r="L570">
            <v>0.13</v>
          </cell>
          <cell r="M570">
            <v>3</v>
          </cell>
          <cell r="N570">
            <v>0</v>
          </cell>
          <cell r="O570">
            <v>0</v>
          </cell>
          <cell r="P570">
            <v>0</v>
          </cell>
          <cell r="Q570">
            <v>567</v>
          </cell>
          <cell r="S570" t="str">
            <v>EQUIPE CIV</v>
          </cell>
          <cell r="T570">
            <v>39062</v>
          </cell>
        </row>
        <row r="571">
          <cell r="D571" t="str">
            <v>Elétrica</v>
          </cell>
          <cell r="E571" t="str">
            <v>8 dias</v>
          </cell>
          <cell r="F571">
            <v>38918.375</v>
          </cell>
          <cell r="G571">
            <v>39049.333333333336</v>
          </cell>
          <cell r="H571" t="str">
            <v>NA</v>
          </cell>
          <cell r="I571">
            <v>38933.375</v>
          </cell>
          <cell r="J571">
            <v>39058.729166666664</v>
          </cell>
          <cell r="K571" t="str">
            <v>NA</v>
          </cell>
          <cell r="L571">
            <v>0.09</v>
          </cell>
          <cell r="M571">
            <v>2</v>
          </cell>
          <cell r="N571">
            <v>0</v>
          </cell>
          <cell r="O571">
            <v>0</v>
          </cell>
          <cell r="P571">
            <v>0</v>
          </cell>
          <cell r="T571">
            <v>39058</v>
          </cell>
        </row>
        <row r="572">
          <cell r="D572" t="str">
            <v>Desenho De Detalhamento</v>
          </cell>
          <cell r="E572" t="str">
            <v>8 dias</v>
          </cell>
          <cell r="F572">
            <v>38918.375</v>
          </cell>
          <cell r="G572">
            <v>39049.333333333336</v>
          </cell>
          <cell r="H572" t="str">
            <v>NA</v>
          </cell>
          <cell r="I572">
            <v>38930.375</v>
          </cell>
          <cell r="J572">
            <v>39058.729166666664</v>
          </cell>
          <cell r="K572" t="str">
            <v>NA</v>
          </cell>
          <cell r="L572">
            <v>0.09</v>
          </cell>
          <cell r="M572">
            <v>2</v>
          </cell>
          <cell r="N572">
            <v>0</v>
          </cell>
          <cell r="O572">
            <v>0</v>
          </cell>
          <cell r="P572">
            <v>0</v>
          </cell>
          <cell r="T572">
            <v>39058</v>
          </cell>
        </row>
        <row r="573">
          <cell r="B573" t="str">
            <v>DE.450.DD.01</v>
          </cell>
          <cell r="D573" t="str">
            <v>Diagrama Trifilar</v>
          </cell>
          <cell r="E573" t="str">
            <v>4 dias</v>
          </cell>
          <cell r="F573">
            <v>38918.375</v>
          </cell>
          <cell r="G573">
            <v>39049.333333333336</v>
          </cell>
          <cell r="H573" t="str">
            <v>NA</v>
          </cell>
          <cell r="I573">
            <v>38924.375</v>
          </cell>
          <cell r="J573">
            <v>39052.729166666664</v>
          </cell>
          <cell r="K573" t="str">
            <v>NA</v>
          </cell>
          <cell r="L573">
            <v>0.04</v>
          </cell>
          <cell r="M573">
            <v>1</v>
          </cell>
          <cell r="N573">
            <v>0</v>
          </cell>
          <cell r="O573">
            <v>0</v>
          </cell>
          <cell r="P573">
            <v>0</v>
          </cell>
          <cell r="Q573">
            <v>566</v>
          </cell>
          <cell r="R573">
            <v>572</v>
          </cell>
          <cell r="S573" t="str">
            <v>EQUIPE ELE</v>
          </cell>
          <cell r="T573">
            <v>39052</v>
          </cell>
        </row>
        <row r="574">
          <cell r="B574" t="str">
            <v>DE.450.DD.02</v>
          </cell>
          <cell r="D574" t="str">
            <v>Eletrodutos</v>
          </cell>
          <cell r="E574" t="str">
            <v>4 dias</v>
          </cell>
          <cell r="F574">
            <v>38924.375</v>
          </cell>
          <cell r="G574">
            <v>39055.333333333336</v>
          </cell>
          <cell r="H574" t="str">
            <v>NA</v>
          </cell>
          <cell r="I574">
            <v>38930.375</v>
          </cell>
          <cell r="J574">
            <v>39058.729166666664</v>
          </cell>
          <cell r="K574" t="str">
            <v>NA</v>
          </cell>
          <cell r="L574">
            <v>0.04</v>
          </cell>
          <cell r="M574">
            <v>1</v>
          </cell>
          <cell r="N574">
            <v>0</v>
          </cell>
          <cell r="O574">
            <v>0</v>
          </cell>
          <cell r="P574">
            <v>0</v>
          </cell>
          <cell r="Q574">
            <v>571</v>
          </cell>
          <cell r="S574" t="str">
            <v>EQUIPE ELE</v>
          </cell>
          <cell r="T574">
            <v>39058</v>
          </cell>
        </row>
        <row r="575">
          <cell r="B575" t="str">
            <v>1.4</v>
          </cell>
          <cell r="C575" t="str">
            <v>500A</v>
          </cell>
          <cell r="D575" t="str">
            <v>INFRA-ESTRUTURA E UTILIDADES</v>
          </cell>
          <cell r="E575" t="str">
            <v>171 dias</v>
          </cell>
          <cell r="F575">
            <v>38793.375</v>
          </cell>
          <cell r="G575">
            <v>38807.333333333336</v>
          </cell>
          <cell r="H575">
            <v>38807.333333333336</v>
          </cell>
          <cell r="I575">
            <v>38988.604166666664</v>
          </cell>
          <cell r="J575">
            <v>39066.729166666664</v>
          </cell>
          <cell r="K575" t="str">
            <v>NA</v>
          </cell>
          <cell r="L575">
            <v>21.49</v>
          </cell>
          <cell r="M575">
            <v>491.75</v>
          </cell>
          <cell r="N575">
            <v>122.16</v>
          </cell>
          <cell r="O575">
            <v>24.84</v>
          </cell>
          <cell r="P575">
            <v>24.84</v>
          </cell>
          <cell r="T575">
            <v>39066</v>
          </cell>
        </row>
        <row r="576">
          <cell r="B576" t="str">
            <v>1.4.1</v>
          </cell>
          <cell r="C576" t="str">
            <v>505A</v>
          </cell>
          <cell r="D576" t="str">
            <v>Geral</v>
          </cell>
          <cell r="E576" t="str">
            <v>156 dias</v>
          </cell>
          <cell r="F576">
            <v>38793.375</v>
          </cell>
          <cell r="G576">
            <v>38807.333333333336</v>
          </cell>
          <cell r="H576">
            <v>38807.333333333336</v>
          </cell>
          <cell r="I576">
            <v>38988.604166666664</v>
          </cell>
          <cell r="J576">
            <v>39045.729166666664</v>
          </cell>
          <cell r="K576" t="str">
            <v>NA</v>
          </cell>
          <cell r="L576">
            <v>7.74</v>
          </cell>
          <cell r="M576">
            <v>177.13</v>
          </cell>
          <cell r="N576">
            <v>81.25</v>
          </cell>
          <cell r="O576">
            <v>45.87</v>
          </cell>
          <cell r="P576">
            <v>45.87</v>
          </cell>
          <cell r="T576">
            <v>39045</v>
          </cell>
        </row>
        <row r="577">
          <cell r="D577" t="str">
            <v>Projeto Básico</v>
          </cell>
          <cell r="E577" t="str">
            <v>101 dias</v>
          </cell>
          <cell r="F577">
            <v>38793.375</v>
          </cell>
          <cell r="G577">
            <v>38807.333333333336</v>
          </cell>
          <cell r="H577">
            <v>38807.333333333336</v>
          </cell>
          <cell r="I577">
            <v>38891.375</v>
          </cell>
          <cell r="J577">
            <v>38959.729166666664</v>
          </cell>
          <cell r="K577" t="str">
            <v>NA</v>
          </cell>
          <cell r="L577">
            <v>2.72</v>
          </cell>
          <cell r="M577">
            <v>62.13</v>
          </cell>
          <cell r="N577">
            <v>34.299999999999997</v>
          </cell>
          <cell r="O577">
            <v>55.21</v>
          </cell>
          <cell r="P577">
            <v>55.21</v>
          </cell>
          <cell r="R577" t="str">
            <v>605TI+50 dias;613TT</v>
          </cell>
          <cell r="T577">
            <v>38959</v>
          </cell>
        </row>
        <row r="578">
          <cell r="D578" t="str">
            <v>Mecânica</v>
          </cell>
          <cell r="E578" t="str">
            <v>9 dias</v>
          </cell>
          <cell r="F578" t="str">
            <v>NA</v>
          </cell>
          <cell r="G578">
            <v>38891.333333333336</v>
          </cell>
          <cell r="H578">
            <v>38891.333333333336</v>
          </cell>
          <cell r="I578" t="str">
            <v>NA</v>
          </cell>
          <cell r="J578">
            <v>38903.729166666664</v>
          </cell>
          <cell r="K578" t="str">
            <v>NA</v>
          </cell>
          <cell r="L578">
            <v>0.26</v>
          </cell>
          <cell r="M578">
            <v>6</v>
          </cell>
          <cell r="N578">
            <v>5.4</v>
          </cell>
          <cell r="O578">
            <v>0</v>
          </cell>
          <cell r="P578">
            <v>90</v>
          </cell>
          <cell r="T578">
            <v>38903</v>
          </cell>
        </row>
        <row r="579">
          <cell r="B579" t="str">
            <v>BB.505.OI.01</v>
          </cell>
          <cell r="D579" t="str">
            <v>Orçamento De Investimentos</v>
          </cell>
          <cell r="E579" t="str">
            <v>9 dias</v>
          </cell>
          <cell r="F579" t="str">
            <v>NA</v>
          </cell>
          <cell r="G579">
            <v>38891.333333333336</v>
          </cell>
          <cell r="H579">
            <v>38891.333333333336</v>
          </cell>
          <cell r="I579" t="str">
            <v>NA</v>
          </cell>
          <cell r="J579">
            <v>38903.729166666664</v>
          </cell>
          <cell r="K579" t="str">
            <v>NA</v>
          </cell>
          <cell r="L579">
            <v>0.26</v>
          </cell>
          <cell r="M579">
            <v>6</v>
          </cell>
          <cell r="N579">
            <v>5.4</v>
          </cell>
          <cell r="O579">
            <v>0</v>
          </cell>
          <cell r="P579">
            <v>90</v>
          </cell>
          <cell r="Q579" t="str">
            <v>34II</v>
          </cell>
          <cell r="S579" t="str">
            <v>EQUIPE MEC</v>
          </cell>
          <cell r="T579">
            <v>38903</v>
          </cell>
        </row>
        <row r="580">
          <cell r="D580" t="str">
            <v>Civil</v>
          </cell>
          <cell r="E580" t="str">
            <v>24 dias</v>
          </cell>
          <cell r="F580">
            <v>38819.333333333336</v>
          </cell>
          <cell r="G580">
            <v>38898.333333333336</v>
          </cell>
          <cell r="H580">
            <v>38898.333333333336</v>
          </cell>
          <cell r="I580">
            <v>38845.729166666664</v>
          </cell>
          <cell r="J580">
            <v>38931.729166666664</v>
          </cell>
          <cell r="K580" t="str">
            <v>NA</v>
          </cell>
          <cell r="L580">
            <v>0.39</v>
          </cell>
          <cell r="M580">
            <v>8.8800000000000008</v>
          </cell>
          <cell r="N580">
            <v>8.73</v>
          </cell>
          <cell r="O580">
            <v>0</v>
          </cell>
          <cell r="P580">
            <v>98.31</v>
          </cell>
          <cell r="T580">
            <v>38931</v>
          </cell>
        </row>
        <row r="581">
          <cell r="B581" t="str">
            <v>BC.505.DB.01</v>
          </cell>
          <cell r="D581" t="str">
            <v>Desenho Básico - Terraplenagem</v>
          </cell>
          <cell r="E581" t="str">
            <v>24 dias</v>
          </cell>
          <cell r="F581">
            <v>38819.333333333336</v>
          </cell>
          <cell r="G581">
            <v>38898.333333333336</v>
          </cell>
          <cell r="H581">
            <v>38898.333333333336</v>
          </cell>
          <cell r="I581">
            <v>38835.729166666664</v>
          </cell>
          <cell r="J581">
            <v>38931.729166666664</v>
          </cell>
          <cell r="K581">
            <v>38931.729166666664</v>
          </cell>
          <cell r="L581">
            <v>0.28000000000000003</v>
          </cell>
          <cell r="M581">
            <v>6.5</v>
          </cell>
          <cell r="N581">
            <v>6.5</v>
          </cell>
          <cell r="O581">
            <v>0</v>
          </cell>
          <cell r="P581">
            <v>100</v>
          </cell>
          <cell r="Q581" t="str">
            <v>16II;49II;55II</v>
          </cell>
          <cell r="R581" t="str">
            <v>75II;608II</v>
          </cell>
          <cell r="S581" t="str">
            <v>EQUIPE CIV</v>
          </cell>
          <cell r="T581">
            <v>38931</v>
          </cell>
        </row>
        <row r="582">
          <cell r="B582" t="str">
            <v>BC.505.PQ.01</v>
          </cell>
          <cell r="D582" t="str">
            <v>Planilha De Quantidades - Arquitetura</v>
          </cell>
          <cell r="E582" t="str">
            <v>5 dias</v>
          </cell>
          <cell r="F582">
            <v>38838.333333333336</v>
          </cell>
          <cell r="G582">
            <v>38917.333333333336</v>
          </cell>
          <cell r="H582">
            <v>38917.333333333336</v>
          </cell>
          <cell r="I582">
            <v>38842.375</v>
          </cell>
          <cell r="J582">
            <v>38923.729166666664</v>
          </cell>
          <cell r="K582" t="str">
            <v>NA</v>
          </cell>
          <cell r="L582">
            <v>0.1</v>
          </cell>
          <cell r="M582">
            <v>2.38</v>
          </cell>
          <cell r="N582">
            <v>2.23</v>
          </cell>
          <cell r="O582">
            <v>0</v>
          </cell>
          <cell r="P582">
            <v>93.68</v>
          </cell>
          <cell r="Q582" t="str">
            <v>16II</v>
          </cell>
          <cell r="S582" t="str">
            <v>EQUIPE ARQ</v>
          </cell>
          <cell r="T582">
            <v>38923</v>
          </cell>
        </row>
        <row r="583">
          <cell r="D583" t="str">
            <v>Elétrica</v>
          </cell>
          <cell r="E583" t="str">
            <v>101 dias</v>
          </cell>
          <cell r="F583">
            <v>38793.375</v>
          </cell>
          <cell r="G583">
            <v>38807.333333333336</v>
          </cell>
          <cell r="H583">
            <v>38807.333333333336</v>
          </cell>
          <cell r="I583">
            <v>38891.375</v>
          </cell>
          <cell r="J583">
            <v>38959.729166666664</v>
          </cell>
          <cell r="K583" t="str">
            <v>NA</v>
          </cell>
          <cell r="L583">
            <v>2.0699999999999998</v>
          </cell>
          <cell r="M583">
            <v>47.25</v>
          </cell>
          <cell r="N583">
            <v>20.18</v>
          </cell>
          <cell r="O583">
            <v>2.97</v>
          </cell>
          <cell r="P583">
            <v>42.7</v>
          </cell>
          <cell r="T583">
            <v>38959</v>
          </cell>
        </row>
        <row r="584">
          <cell r="B584" t="str">
            <v>BE.505.CP.01</v>
          </cell>
          <cell r="D584" t="str">
            <v>Critério De Projeto</v>
          </cell>
          <cell r="E584" t="str">
            <v>6 dias</v>
          </cell>
          <cell r="F584">
            <v>38793.375</v>
          </cell>
          <cell r="G584">
            <v>38807.333333333336</v>
          </cell>
          <cell r="H584">
            <v>38807.333333333336</v>
          </cell>
          <cell r="I584">
            <v>38819.375</v>
          </cell>
          <cell r="J584">
            <v>38814.729166666664</v>
          </cell>
          <cell r="K584" t="str">
            <v>NA</v>
          </cell>
          <cell r="L584">
            <v>0.11</v>
          </cell>
          <cell r="M584">
            <v>2.5</v>
          </cell>
          <cell r="N584">
            <v>2.25</v>
          </cell>
          <cell r="O584">
            <v>50</v>
          </cell>
          <cell r="P584">
            <v>90</v>
          </cell>
          <cell r="Q584">
            <v>3</v>
          </cell>
          <cell r="R584" t="str">
            <v>583;621II</v>
          </cell>
          <cell r="S584" t="str">
            <v>EQUIPE ELE</v>
          </cell>
          <cell r="T584">
            <v>38814</v>
          </cell>
        </row>
        <row r="585">
          <cell r="D585" t="str">
            <v>APROVAÇÃO EBX</v>
          </cell>
          <cell r="E585" t="str">
            <v>5 dias</v>
          </cell>
          <cell r="F585">
            <v>38832.375</v>
          </cell>
          <cell r="G585">
            <v>38817.333333333336</v>
          </cell>
          <cell r="H585" t="str">
            <v>NA</v>
          </cell>
          <cell r="I585">
            <v>38840.375</v>
          </cell>
          <cell r="J585">
            <v>38825.729166666664</v>
          </cell>
          <cell r="K585" t="str">
            <v>NA</v>
          </cell>
          <cell r="L585">
            <v>0</v>
          </cell>
          <cell r="M585">
            <v>0</v>
          </cell>
          <cell r="N585">
            <v>0</v>
          </cell>
          <cell r="O585">
            <v>0</v>
          </cell>
          <cell r="P585" t="str">
            <v>#ERRO</v>
          </cell>
          <cell r="Q585">
            <v>582</v>
          </cell>
          <cell r="T585">
            <v>38825</v>
          </cell>
        </row>
        <row r="586">
          <cell r="B586" t="str">
            <v>BE.505.ED.01</v>
          </cell>
          <cell r="D586" t="str">
            <v>Estudos / Planos - Estudo Demanda</v>
          </cell>
          <cell r="E586" t="str">
            <v>15 dias</v>
          </cell>
          <cell r="F586">
            <v>38832.375</v>
          </cell>
          <cell r="G586">
            <v>38922.333333333336</v>
          </cell>
          <cell r="H586">
            <v>38922.333333333336</v>
          </cell>
          <cell r="I586">
            <v>38854.375</v>
          </cell>
          <cell r="J586">
            <v>38940.729166666664</v>
          </cell>
          <cell r="K586" t="str">
            <v>NA</v>
          </cell>
          <cell r="L586">
            <v>0.33</v>
          </cell>
          <cell r="M586">
            <v>7.5</v>
          </cell>
          <cell r="N586">
            <v>3.75</v>
          </cell>
          <cell r="O586">
            <v>0</v>
          </cell>
          <cell r="P586">
            <v>50</v>
          </cell>
          <cell r="Q586" t="str">
            <v>14II;33II</v>
          </cell>
          <cell r="R586" t="str">
            <v>586II+15 dias;590II;591;593II;594II;598II;599II;600II;601II;622;669II</v>
          </cell>
          <cell r="S586" t="str">
            <v>EQUIPE ELE</v>
          </cell>
          <cell r="T586">
            <v>38940</v>
          </cell>
        </row>
        <row r="587">
          <cell r="D587" t="str">
            <v>Folha De Dados</v>
          </cell>
          <cell r="E587" t="str">
            <v>24 dias</v>
          </cell>
          <cell r="F587">
            <v>38819.375</v>
          </cell>
          <cell r="G587">
            <v>38924.333333333336</v>
          </cell>
          <cell r="H587">
            <v>38924.333333333336</v>
          </cell>
          <cell r="I587">
            <v>38867.375</v>
          </cell>
          <cell r="J587">
            <v>38959.729166666664</v>
          </cell>
          <cell r="K587" t="str">
            <v>NA</v>
          </cell>
          <cell r="L587">
            <v>1.35</v>
          </cell>
          <cell r="M587">
            <v>30.88</v>
          </cell>
          <cell r="N587">
            <v>12.59</v>
          </cell>
          <cell r="O587">
            <v>0</v>
          </cell>
          <cell r="P587">
            <v>40.770000000000003</v>
          </cell>
          <cell r="R587" t="str">
            <v>623;625II</v>
          </cell>
          <cell r="T587">
            <v>38959</v>
          </cell>
        </row>
        <row r="588">
          <cell r="B588" t="str">
            <v>BE.505.FD.01</v>
          </cell>
          <cell r="D588" t="str">
            <v>CCM's</v>
          </cell>
          <cell r="E588" t="str">
            <v>11 dias</v>
          </cell>
          <cell r="F588">
            <v>38819.375</v>
          </cell>
          <cell r="G588">
            <v>38945.333333333336</v>
          </cell>
          <cell r="H588" t="str">
            <v>NA</v>
          </cell>
          <cell r="I588">
            <v>38833.375</v>
          </cell>
          <cell r="J588">
            <v>38959.729166666664</v>
          </cell>
          <cell r="K588" t="str">
            <v>NA</v>
          </cell>
          <cell r="L588">
            <v>0.09</v>
          </cell>
          <cell r="M588">
            <v>2</v>
          </cell>
          <cell r="N588">
            <v>0</v>
          </cell>
          <cell r="O588">
            <v>0</v>
          </cell>
          <cell r="P588">
            <v>0</v>
          </cell>
          <cell r="Q588" t="str">
            <v>584II+15 dias</v>
          </cell>
          <cell r="R588" t="str">
            <v>587TT;588TT;589TT;592TT;595TT;596TT;597TT</v>
          </cell>
          <cell r="S588" t="str">
            <v>EQUIPE ELE</v>
          </cell>
          <cell r="T588">
            <v>38959</v>
          </cell>
        </row>
        <row r="589">
          <cell r="B589" t="str">
            <v>BE.505.FD.02</v>
          </cell>
          <cell r="D589" t="str">
            <v>Transformadores</v>
          </cell>
          <cell r="E589" t="str">
            <v>12 dias</v>
          </cell>
          <cell r="F589">
            <v>38833.375</v>
          </cell>
          <cell r="G589">
            <v>38940.333333333336</v>
          </cell>
          <cell r="H589">
            <v>38940.333333333336</v>
          </cell>
          <cell r="I589">
            <v>38855.375</v>
          </cell>
          <cell r="J589">
            <v>38959.729166666664</v>
          </cell>
          <cell r="K589" t="str">
            <v>NA</v>
          </cell>
          <cell r="L589">
            <v>0.17</v>
          </cell>
          <cell r="M589">
            <v>4</v>
          </cell>
          <cell r="N589">
            <v>1.2</v>
          </cell>
          <cell r="O589">
            <v>0</v>
          </cell>
          <cell r="P589">
            <v>30</v>
          </cell>
          <cell r="Q589" t="str">
            <v>586TT</v>
          </cell>
          <cell r="S589" t="str">
            <v>EQUIPE ELE</v>
          </cell>
          <cell r="T589">
            <v>38959</v>
          </cell>
        </row>
        <row r="590">
          <cell r="B590" t="str">
            <v>BE.505.FD.03</v>
          </cell>
          <cell r="D590" t="str">
            <v>Quadros De Distribuição</v>
          </cell>
          <cell r="E590" t="str">
            <v>9 dias</v>
          </cell>
          <cell r="F590">
            <v>38833.375</v>
          </cell>
          <cell r="G590">
            <v>38947.333333333336</v>
          </cell>
          <cell r="H590" t="str">
            <v>NA</v>
          </cell>
          <cell r="I590">
            <v>38847.375</v>
          </cell>
          <cell r="J590">
            <v>38959.729166666664</v>
          </cell>
          <cell r="K590" t="str">
            <v>NA</v>
          </cell>
          <cell r="L590">
            <v>0.27</v>
          </cell>
          <cell r="M590">
            <v>6.25</v>
          </cell>
          <cell r="N590">
            <v>0</v>
          </cell>
          <cell r="O590">
            <v>0</v>
          </cell>
          <cell r="P590">
            <v>0</v>
          </cell>
          <cell r="Q590" t="str">
            <v>586TT</v>
          </cell>
          <cell r="S590" t="str">
            <v>EQUIPE ELE</v>
          </cell>
          <cell r="T590">
            <v>38959</v>
          </cell>
        </row>
        <row r="591">
          <cell r="B591" t="str">
            <v>BE.505.FD.06</v>
          </cell>
          <cell r="D591" t="str">
            <v>Painel De Capacitores</v>
          </cell>
          <cell r="E591" t="str">
            <v>2 dias</v>
          </cell>
          <cell r="F591">
            <v>38856.375</v>
          </cell>
          <cell r="G591">
            <v>38958.333333333336</v>
          </cell>
          <cell r="H591" t="str">
            <v>NA</v>
          </cell>
          <cell r="I591">
            <v>38859.375</v>
          </cell>
          <cell r="J591">
            <v>38959.729166666664</v>
          </cell>
          <cell r="K591" t="str">
            <v>NA</v>
          </cell>
          <cell r="L591">
            <v>7.0000000000000007E-2</v>
          </cell>
          <cell r="M591">
            <v>1.5</v>
          </cell>
          <cell r="N591">
            <v>0</v>
          </cell>
          <cell r="O591">
            <v>0</v>
          </cell>
          <cell r="P591">
            <v>0</v>
          </cell>
          <cell r="Q591" t="str">
            <v>586TT</v>
          </cell>
          <cell r="S591" t="str">
            <v>EQUIPE ELE</v>
          </cell>
          <cell r="T591">
            <v>38959</v>
          </cell>
        </row>
        <row r="592">
          <cell r="B592" t="str">
            <v>BE.505.FD.07</v>
          </cell>
          <cell r="D592" t="str">
            <v>Gerador Diesel</v>
          </cell>
          <cell r="E592" t="str">
            <v>2 dias</v>
          </cell>
          <cell r="F592">
            <v>38859.375</v>
          </cell>
          <cell r="G592">
            <v>38924.333333333336</v>
          </cell>
          <cell r="H592">
            <v>38924.333333333336</v>
          </cell>
          <cell r="I592">
            <v>38860.375</v>
          </cell>
          <cell r="J592">
            <v>38925.729166666664</v>
          </cell>
          <cell r="K592" t="str">
            <v>NA</v>
          </cell>
          <cell r="L592">
            <v>7.0000000000000007E-2</v>
          </cell>
          <cell r="M592">
            <v>1.63</v>
          </cell>
          <cell r="N592">
            <v>1.46</v>
          </cell>
          <cell r="O592">
            <v>0</v>
          </cell>
          <cell r="P592">
            <v>90</v>
          </cell>
          <cell r="Q592" t="str">
            <v>584II</v>
          </cell>
          <cell r="S592" t="str">
            <v>EQUIPE ELE</v>
          </cell>
          <cell r="T592">
            <v>38925</v>
          </cell>
        </row>
        <row r="593">
          <cell r="B593" t="str">
            <v>BE.505.FD.09</v>
          </cell>
          <cell r="D593" t="str">
            <v>Resistor De Aterramento</v>
          </cell>
          <cell r="E593" t="str">
            <v>2 dias</v>
          </cell>
          <cell r="F593">
            <v>38860.375</v>
          </cell>
          <cell r="G593">
            <v>38924.333333333336</v>
          </cell>
          <cell r="H593">
            <v>38924.333333333336</v>
          </cell>
          <cell r="I593">
            <v>38861.375</v>
          </cell>
          <cell r="J593">
            <v>38925.729166666664</v>
          </cell>
          <cell r="K593" t="str">
            <v>NA</v>
          </cell>
          <cell r="L593">
            <v>0.05</v>
          </cell>
          <cell r="M593">
            <v>1.1299999999999999</v>
          </cell>
          <cell r="N593">
            <v>1.01</v>
          </cell>
          <cell r="O593">
            <v>0</v>
          </cell>
          <cell r="P593">
            <v>90</v>
          </cell>
          <cell r="Q593">
            <v>584</v>
          </cell>
          <cell r="S593" t="str">
            <v>EQUIPE ELE</v>
          </cell>
          <cell r="T593">
            <v>38925</v>
          </cell>
        </row>
        <row r="594">
          <cell r="B594" t="str">
            <v>BE.505.FD.10</v>
          </cell>
          <cell r="D594" t="str">
            <v>Conjunto De Manobras Média Tensão</v>
          </cell>
          <cell r="E594" t="str">
            <v>2 dias</v>
          </cell>
          <cell r="F594">
            <v>38861.375</v>
          </cell>
          <cell r="G594">
            <v>38958.333333333336</v>
          </cell>
          <cell r="H594">
            <v>38958.333333333336</v>
          </cell>
          <cell r="I594">
            <v>38866.375</v>
          </cell>
          <cell r="J594">
            <v>38959.729166666664</v>
          </cell>
          <cell r="K594" t="str">
            <v>NA</v>
          </cell>
          <cell r="L594">
            <v>0.09</v>
          </cell>
          <cell r="M594">
            <v>2</v>
          </cell>
          <cell r="N594">
            <v>0.2</v>
          </cell>
          <cell r="O594">
            <v>0</v>
          </cell>
          <cell r="P594">
            <v>10</v>
          </cell>
          <cell r="Q594" t="str">
            <v>586TT</v>
          </cell>
          <cell r="S594" t="str">
            <v>EQUIPE ELE</v>
          </cell>
          <cell r="T594">
            <v>38959</v>
          </cell>
        </row>
        <row r="595">
          <cell r="B595" t="str">
            <v>BE.505.FD.12</v>
          </cell>
          <cell r="D595" t="str">
            <v>Chaves Seccionadoras 13,8kV e 69kV</v>
          </cell>
          <cell r="E595" t="str">
            <v>2 dias</v>
          </cell>
          <cell r="F595">
            <v>38847.375</v>
          </cell>
          <cell r="G595">
            <v>38924.333333333336</v>
          </cell>
          <cell r="H595">
            <v>38924.333333333336</v>
          </cell>
          <cell r="I595">
            <v>38849.375</v>
          </cell>
          <cell r="J595">
            <v>38925.729166666664</v>
          </cell>
          <cell r="K595" t="str">
            <v>NA</v>
          </cell>
          <cell r="L595">
            <v>0.13</v>
          </cell>
          <cell r="M595">
            <v>3</v>
          </cell>
          <cell r="N595">
            <v>2.7</v>
          </cell>
          <cell r="O595">
            <v>0</v>
          </cell>
          <cell r="P595">
            <v>90</v>
          </cell>
          <cell r="Q595" t="str">
            <v>584II</v>
          </cell>
          <cell r="S595" t="str">
            <v>EQUIPE ELE</v>
          </cell>
          <cell r="T595">
            <v>38925</v>
          </cell>
        </row>
        <row r="596">
          <cell r="B596" t="str">
            <v>BE.505.FD.13</v>
          </cell>
          <cell r="D596" t="str">
            <v>Resistor 4,16kV</v>
          </cell>
          <cell r="E596" t="str">
            <v>2 dias</v>
          </cell>
          <cell r="F596">
            <v>38847.375</v>
          </cell>
          <cell r="G596">
            <v>38924.333333333336</v>
          </cell>
          <cell r="H596">
            <v>38924.333333333336</v>
          </cell>
          <cell r="I596">
            <v>38848.375</v>
          </cell>
          <cell r="J596">
            <v>38925.729166666664</v>
          </cell>
          <cell r="K596" t="str">
            <v>NA</v>
          </cell>
          <cell r="L596">
            <v>0.05</v>
          </cell>
          <cell r="M596">
            <v>1.1299999999999999</v>
          </cell>
          <cell r="N596">
            <v>1.01</v>
          </cell>
          <cell r="O596">
            <v>0</v>
          </cell>
          <cell r="P596">
            <v>90</v>
          </cell>
          <cell r="Q596" t="str">
            <v>584II</v>
          </cell>
          <cell r="S596" t="str">
            <v>EQUIPE ELE</v>
          </cell>
          <cell r="T596">
            <v>38925</v>
          </cell>
        </row>
        <row r="597">
          <cell r="B597" t="str">
            <v>BE.505.FD.14</v>
          </cell>
          <cell r="D597" t="str">
            <v>Carregador Bat.</v>
          </cell>
          <cell r="E597" t="str">
            <v>2 dias</v>
          </cell>
          <cell r="F597">
            <v>38847.375</v>
          </cell>
          <cell r="G597">
            <v>38958.333333333336</v>
          </cell>
          <cell r="H597">
            <v>38958.333333333336</v>
          </cell>
          <cell r="I597">
            <v>38848.375</v>
          </cell>
          <cell r="J597">
            <v>38959.729166666664</v>
          </cell>
          <cell r="K597" t="str">
            <v>NA</v>
          </cell>
          <cell r="L597">
            <v>0.05</v>
          </cell>
          <cell r="M597">
            <v>1.25</v>
          </cell>
          <cell r="N597">
            <v>0.13</v>
          </cell>
          <cell r="O597">
            <v>0</v>
          </cell>
          <cell r="P597">
            <v>10</v>
          </cell>
          <cell r="Q597" t="str">
            <v>586TT</v>
          </cell>
          <cell r="S597" t="str">
            <v>EQUIPE ELE</v>
          </cell>
          <cell r="T597">
            <v>38959</v>
          </cell>
        </row>
        <row r="598">
          <cell r="B598" t="str">
            <v>BE.505.FD.15</v>
          </cell>
          <cell r="D598" t="str">
            <v>Banco Bat.</v>
          </cell>
          <cell r="E598" t="str">
            <v>1 dia</v>
          </cell>
          <cell r="F598">
            <v>38847.375</v>
          </cell>
          <cell r="G598">
            <v>38959.333333333336</v>
          </cell>
          <cell r="H598" t="str">
            <v>NA</v>
          </cell>
          <cell r="I598">
            <v>38848.375</v>
          </cell>
          <cell r="J598">
            <v>38959.729166666664</v>
          </cell>
          <cell r="K598" t="str">
            <v>NA</v>
          </cell>
          <cell r="L598">
            <v>0.03</v>
          </cell>
          <cell r="M598">
            <v>0.75</v>
          </cell>
          <cell r="N598">
            <v>0</v>
          </cell>
          <cell r="O598">
            <v>0</v>
          </cell>
          <cell r="P598">
            <v>0</v>
          </cell>
          <cell r="Q598" t="str">
            <v>586TT</v>
          </cell>
          <cell r="S598" t="str">
            <v>EQUIPE ELE</v>
          </cell>
          <cell r="T598">
            <v>38959</v>
          </cell>
        </row>
        <row r="599">
          <cell r="B599" t="str">
            <v>BE.505.FD.16</v>
          </cell>
          <cell r="D599" t="str">
            <v>Para-Raios 13,8kV e 69kV</v>
          </cell>
          <cell r="E599" t="str">
            <v>2 dias</v>
          </cell>
          <cell r="F599">
            <v>38847.375</v>
          </cell>
          <cell r="G599">
            <v>38958.333333333336</v>
          </cell>
          <cell r="H599">
            <v>38958.333333333336</v>
          </cell>
          <cell r="I599">
            <v>38848.375</v>
          </cell>
          <cell r="J599">
            <v>38959.729166666664</v>
          </cell>
          <cell r="K599" t="str">
            <v>NA</v>
          </cell>
          <cell r="L599">
            <v>7.0000000000000007E-2</v>
          </cell>
          <cell r="M599">
            <v>1.5</v>
          </cell>
          <cell r="N599">
            <v>0.6</v>
          </cell>
          <cell r="O599">
            <v>0</v>
          </cell>
          <cell r="P599">
            <v>40</v>
          </cell>
          <cell r="Q599" t="str">
            <v>586TT</v>
          </cell>
          <cell r="S599" t="str">
            <v>EQUIPE ELE</v>
          </cell>
          <cell r="T599">
            <v>38959</v>
          </cell>
        </row>
        <row r="600">
          <cell r="B600" t="str">
            <v>BE.505.FD.17</v>
          </cell>
          <cell r="D600" t="str">
            <v>Disjuntor 69kV</v>
          </cell>
          <cell r="E600" t="str">
            <v>2 dias</v>
          </cell>
          <cell r="F600">
            <v>38847.375</v>
          </cell>
          <cell r="G600">
            <v>38924.333333333336</v>
          </cell>
          <cell r="H600">
            <v>38924.333333333336</v>
          </cell>
          <cell r="I600">
            <v>38848.375</v>
          </cell>
          <cell r="J600">
            <v>38925.729166666664</v>
          </cell>
          <cell r="K600" t="str">
            <v>NA</v>
          </cell>
          <cell r="L600">
            <v>0.05</v>
          </cell>
          <cell r="M600">
            <v>1.1299999999999999</v>
          </cell>
          <cell r="N600">
            <v>1.01</v>
          </cell>
          <cell r="O600">
            <v>0</v>
          </cell>
          <cell r="P600">
            <v>90</v>
          </cell>
          <cell r="Q600" t="str">
            <v>584II</v>
          </cell>
          <cell r="S600" t="str">
            <v>EQUIPE ELE</v>
          </cell>
          <cell r="T600">
            <v>38925</v>
          </cell>
        </row>
        <row r="601">
          <cell r="B601" t="str">
            <v>BE.505.FD.18</v>
          </cell>
          <cell r="D601" t="str">
            <v>TC 69kV</v>
          </cell>
          <cell r="E601" t="str">
            <v>2 dias</v>
          </cell>
          <cell r="F601">
            <v>38847.375</v>
          </cell>
          <cell r="G601">
            <v>38930.333333333336</v>
          </cell>
          <cell r="H601">
            <v>38930.333333333336</v>
          </cell>
          <cell r="I601">
            <v>38848.375</v>
          </cell>
          <cell r="J601">
            <v>38931.729166666664</v>
          </cell>
          <cell r="K601" t="str">
            <v>NA</v>
          </cell>
          <cell r="L601">
            <v>0.08</v>
          </cell>
          <cell r="M601">
            <v>1.88</v>
          </cell>
          <cell r="N601">
            <v>1.69</v>
          </cell>
          <cell r="O601">
            <v>0</v>
          </cell>
          <cell r="P601">
            <v>90</v>
          </cell>
          <cell r="Q601" t="str">
            <v>584II</v>
          </cell>
          <cell r="S601" t="str">
            <v>EQUIPE ELE</v>
          </cell>
          <cell r="T601">
            <v>38931</v>
          </cell>
        </row>
        <row r="602">
          <cell r="B602" t="str">
            <v>BE.505.FD.19</v>
          </cell>
          <cell r="D602" t="str">
            <v>TP 69kV</v>
          </cell>
          <cell r="E602" t="str">
            <v>2 dias</v>
          </cell>
          <cell r="F602">
            <v>38847.375</v>
          </cell>
          <cell r="G602">
            <v>38932.333333333336</v>
          </cell>
          <cell r="H602">
            <v>38932.333333333336</v>
          </cell>
          <cell r="I602">
            <v>38848.375</v>
          </cell>
          <cell r="J602">
            <v>38933.729166666664</v>
          </cell>
          <cell r="K602" t="str">
            <v>NA</v>
          </cell>
          <cell r="L602">
            <v>0.08</v>
          </cell>
          <cell r="M602">
            <v>1.75</v>
          </cell>
          <cell r="N602">
            <v>1.58</v>
          </cell>
          <cell r="O602">
            <v>0</v>
          </cell>
          <cell r="P602">
            <v>90</v>
          </cell>
          <cell r="Q602" t="str">
            <v>584II</v>
          </cell>
          <cell r="S602" t="str">
            <v>EQUIPE ELE</v>
          </cell>
          <cell r="T602">
            <v>38933</v>
          </cell>
        </row>
        <row r="603">
          <cell r="B603" t="str">
            <v>BE.505.LE.01</v>
          </cell>
          <cell r="D603" t="str">
            <v>Lista De Equipamentos / Instrumentos</v>
          </cell>
          <cell r="E603" t="str">
            <v>2 dias</v>
          </cell>
          <cell r="F603">
            <v>38819.375</v>
          </cell>
          <cell r="G603">
            <v>38924.333333333336</v>
          </cell>
          <cell r="H603">
            <v>38924.333333333336</v>
          </cell>
          <cell r="I603">
            <v>38826.375</v>
          </cell>
          <cell r="J603">
            <v>38925.729166666664</v>
          </cell>
          <cell r="K603" t="str">
            <v>NA</v>
          </cell>
          <cell r="L603">
            <v>0.06</v>
          </cell>
          <cell r="M603">
            <v>1.38</v>
          </cell>
          <cell r="N603">
            <v>1.24</v>
          </cell>
          <cell r="O603">
            <v>0</v>
          </cell>
          <cell r="P603">
            <v>90</v>
          </cell>
          <cell r="Q603" t="str">
            <v>584II</v>
          </cell>
          <cell r="R603">
            <v>602</v>
          </cell>
          <cell r="S603" t="str">
            <v>EQUIPE ELE</v>
          </cell>
          <cell r="T603">
            <v>38925</v>
          </cell>
        </row>
        <row r="604">
          <cell r="B604" t="str">
            <v>BE.505.PQ.01</v>
          </cell>
          <cell r="D604" t="str">
            <v>Planilha De Quantitativos</v>
          </cell>
          <cell r="E604" t="str">
            <v>14 dias</v>
          </cell>
          <cell r="F604">
            <v>38826.375</v>
          </cell>
          <cell r="G604">
            <v>38926.333333333336</v>
          </cell>
          <cell r="H604">
            <v>38926.333333333336</v>
          </cell>
          <cell r="I604">
            <v>38848.375</v>
          </cell>
          <cell r="J604">
            <v>38947.729166666664</v>
          </cell>
          <cell r="K604" t="str">
            <v>NA</v>
          </cell>
          <cell r="L604">
            <v>0.22</v>
          </cell>
          <cell r="M604">
            <v>5</v>
          </cell>
          <cell r="N604">
            <v>0.35</v>
          </cell>
          <cell r="O604">
            <v>0</v>
          </cell>
          <cell r="P604">
            <v>7</v>
          </cell>
          <cell r="Q604">
            <v>601</v>
          </cell>
          <cell r="S604" t="str">
            <v>EQUIPE ELE</v>
          </cell>
          <cell r="T604">
            <v>38947</v>
          </cell>
        </row>
        <row r="605">
          <cell r="D605" t="str">
            <v>Projeto Detalhado</v>
          </cell>
          <cell r="E605" t="str">
            <v>135 dias</v>
          </cell>
          <cell r="F605">
            <v>38845.375</v>
          </cell>
          <cell r="G605">
            <v>38842.333333333336</v>
          </cell>
          <cell r="H605">
            <v>38842.333333333336</v>
          </cell>
          <cell r="I605">
            <v>38988.604166666664</v>
          </cell>
          <cell r="J605">
            <v>39045.729166666664</v>
          </cell>
          <cell r="K605" t="str">
            <v>NA</v>
          </cell>
          <cell r="L605">
            <v>5.03</v>
          </cell>
          <cell r="M605">
            <v>115</v>
          </cell>
          <cell r="N605">
            <v>46.95</v>
          </cell>
          <cell r="O605">
            <v>40.83</v>
          </cell>
          <cell r="P605">
            <v>40.83</v>
          </cell>
          <cell r="T605">
            <v>39045</v>
          </cell>
        </row>
        <row r="606">
          <cell r="D606" t="str">
            <v>Tubulação</v>
          </cell>
          <cell r="E606" t="str">
            <v>5 dias</v>
          </cell>
          <cell r="F606">
            <v>38891.375</v>
          </cell>
          <cell r="G606">
            <v>39041.333333333336</v>
          </cell>
          <cell r="H606" t="str">
            <v>NA</v>
          </cell>
          <cell r="I606">
            <v>38898.375</v>
          </cell>
          <cell r="J606">
            <v>39045.729166666664</v>
          </cell>
          <cell r="K606" t="str">
            <v>NA</v>
          </cell>
          <cell r="L606">
            <v>0.17</v>
          </cell>
          <cell r="M606">
            <v>4</v>
          </cell>
          <cell r="N606">
            <v>0</v>
          </cell>
          <cell r="O606">
            <v>0</v>
          </cell>
          <cell r="P606">
            <v>0</v>
          </cell>
          <cell r="T606">
            <v>39045</v>
          </cell>
        </row>
        <row r="607">
          <cell r="B607" t="str">
            <v>DH.505.RT.01</v>
          </cell>
          <cell r="D607" t="str">
            <v>Relatório Técnico - Análise Téc. Ar Condicionado</v>
          </cell>
          <cell r="E607" t="str">
            <v>5 dias</v>
          </cell>
          <cell r="F607">
            <v>38891.375</v>
          </cell>
          <cell r="G607">
            <v>39041.333333333336</v>
          </cell>
          <cell r="H607" t="str">
            <v>NA</v>
          </cell>
          <cell r="I607">
            <v>38898.375</v>
          </cell>
          <cell r="J607">
            <v>39045.729166666664</v>
          </cell>
          <cell r="K607" t="str">
            <v>NA</v>
          </cell>
          <cell r="L607">
            <v>0.17</v>
          </cell>
          <cell r="M607">
            <v>4</v>
          </cell>
          <cell r="N607">
            <v>0</v>
          </cell>
          <cell r="O607">
            <v>0</v>
          </cell>
          <cell r="P607">
            <v>0</v>
          </cell>
          <cell r="Q607" t="str">
            <v>575TI+50 dias</v>
          </cell>
          <cell r="S607" t="str">
            <v>EQUIPE TUB</v>
          </cell>
          <cell r="T607">
            <v>39045</v>
          </cell>
        </row>
        <row r="608">
          <cell r="D608" t="str">
            <v>Civil</v>
          </cell>
          <cell r="E608" t="str">
            <v>52 dias</v>
          </cell>
          <cell r="F608">
            <v>38845.333333333336</v>
          </cell>
          <cell r="G608">
            <v>38902.333333333336</v>
          </cell>
          <cell r="H608">
            <v>38902.333333333336</v>
          </cell>
          <cell r="I608">
            <v>38897.375</v>
          </cell>
          <cell r="J608">
            <v>38979.729166666664</v>
          </cell>
          <cell r="K608" t="str">
            <v>NA</v>
          </cell>
          <cell r="L608">
            <v>0.61</v>
          </cell>
          <cell r="M608">
            <v>14</v>
          </cell>
          <cell r="N608">
            <v>4</v>
          </cell>
          <cell r="O608">
            <v>0</v>
          </cell>
          <cell r="P608">
            <v>28.57</v>
          </cell>
          <cell r="T608">
            <v>38979</v>
          </cell>
        </row>
        <row r="609">
          <cell r="D609" t="str">
            <v>Desenho De Detalhamento</v>
          </cell>
          <cell r="E609" t="str">
            <v>52 dias</v>
          </cell>
          <cell r="F609">
            <v>38845.333333333336</v>
          </cell>
          <cell r="G609">
            <v>38902.333333333336</v>
          </cell>
          <cell r="H609">
            <v>38902.333333333336</v>
          </cell>
          <cell r="I609">
            <v>38897.375</v>
          </cell>
          <cell r="J609">
            <v>38979.729166666664</v>
          </cell>
          <cell r="K609" t="str">
            <v>NA</v>
          </cell>
          <cell r="L609">
            <v>0.61</v>
          </cell>
          <cell r="M609">
            <v>14</v>
          </cell>
          <cell r="N609">
            <v>4</v>
          </cell>
          <cell r="O609">
            <v>0</v>
          </cell>
          <cell r="P609">
            <v>28.57</v>
          </cell>
          <cell r="T609">
            <v>38979</v>
          </cell>
        </row>
        <row r="610">
          <cell r="B610" t="str">
            <v>DC.505.DD.01</v>
          </cell>
          <cell r="D610" t="str">
            <v>Terraplenagem - Platô Industrial</v>
          </cell>
          <cell r="E610" t="str">
            <v>23 dias</v>
          </cell>
          <cell r="F610">
            <v>38845.333333333336</v>
          </cell>
          <cell r="G610">
            <v>38902.333333333336</v>
          </cell>
          <cell r="H610">
            <v>38902.333333333336</v>
          </cell>
          <cell r="I610">
            <v>38855.729166666664</v>
          </cell>
          <cell r="J610">
            <v>38932.729166666664</v>
          </cell>
          <cell r="K610">
            <v>38932.729166666664</v>
          </cell>
          <cell r="L610">
            <v>0.17</v>
          </cell>
          <cell r="M610">
            <v>4</v>
          </cell>
          <cell r="N610">
            <v>4</v>
          </cell>
          <cell r="O610">
            <v>0</v>
          </cell>
          <cell r="P610">
            <v>100</v>
          </cell>
          <cell r="Q610" t="str">
            <v>579II</v>
          </cell>
          <cell r="R610">
            <v>690</v>
          </cell>
          <cell r="S610" t="str">
            <v>EQUIPE CIV</v>
          </cell>
          <cell r="T610">
            <v>38932</v>
          </cell>
        </row>
        <row r="611">
          <cell r="B611" t="str">
            <v>DC.505.DD.04</v>
          </cell>
          <cell r="D611" t="str">
            <v>Terraplenagem - Acesso Mina</v>
          </cell>
          <cell r="E611" t="str">
            <v>17 dias</v>
          </cell>
          <cell r="F611">
            <v>38861.333333333336</v>
          </cell>
          <cell r="G611">
            <v>38950.333333333336</v>
          </cell>
          <cell r="H611" t="str">
            <v>NA</v>
          </cell>
          <cell r="I611">
            <v>38888.375</v>
          </cell>
          <cell r="J611">
            <v>38974.729166666664</v>
          </cell>
          <cell r="K611" t="str">
            <v>NA</v>
          </cell>
          <cell r="L611">
            <v>0.26</v>
          </cell>
          <cell r="M611">
            <v>6</v>
          </cell>
          <cell r="N611">
            <v>0</v>
          </cell>
          <cell r="O611">
            <v>0</v>
          </cell>
          <cell r="P611">
            <v>0</v>
          </cell>
          <cell r="Q611">
            <v>719</v>
          </cell>
          <cell r="S611" t="str">
            <v>EQUIPE CIV</v>
          </cell>
          <cell r="T611">
            <v>38974</v>
          </cell>
        </row>
        <row r="612">
          <cell r="B612" t="str">
            <v>DC.505.DD.05</v>
          </cell>
          <cell r="D612" t="str">
            <v>Pavimentação</v>
          </cell>
          <cell r="E612" t="str">
            <v>7 dias</v>
          </cell>
          <cell r="F612">
            <v>38888.333333333336</v>
          </cell>
          <cell r="G612">
            <v>38971.333333333336</v>
          </cell>
          <cell r="H612" t="str">
            <v>NA</v>
          </cell>
          <cell r="I612">
            <v>38897.375</v>
          </cell>
          <cell r="J612">
            <v>38979.729166666664</v>
          </cell>
          <cell r="K612" t="str">
            <v>NA</v>
          </cell>
          <cell r="L612">
            <v>0.17</v>
          </cell>
          <cell r="M612">
            <v>4</v>
          </cell>
          <cell r="N612">
            <v>0</v>
          </cell>
          <cell r="O612">
            <v>0</v>
          </cell>
          <cell r="P612">
            <v>0</v>
          </cell>
          <cell r="Q612">
            <v>689</v>
          </cell>
          <cell r="S612" t="str">
            <v>EQUIPE CIV</v>
          </cell>
          <cell r="T612">
            <v>38979</v>
          </cell>
        </row>
        <row r="613">
          <cell r="D613" t="str">
            <v>Elétrica</v>
          </cell>
          <cell r="E613" t="str">
            <v>123 dias</v>
          </cell>
          <cell r="F613">
            <v>38891.375</v>
          </cell>
          <cell r="G613">
            <v>38842.333333333336</v>
          </cell>
          <cell r="H613">
            <v>38842.333333333336</v>
          </cell>
          <cell r="I613">
            <v>38988.604166666664</v>
          </cell>
          <cell r="J613">
            <v>39028.729166666664</v>
          </cell>
          <cell r="K613" t="str">
            <v>NA</v>
          </cell>
          <cell r="L613">
            <v>4.24</v>
          </cell>
          <cell r="M613">
            <v>97</v>
          </cell>
          <cell r="N613">
            <v>42.95</v>
          </cell>
          <cell r="O613">
            <v>0</v>
          </cell>
          <cell r="P613">
            <v>44.28</v>
          </cell>
          <cell r="T613">
            <v>39028</v>
          </cell>
        </row>
        <row r="614">
          <cell r="D614" t="str">
            <v>Diagrama Unifilar</v>
          </cell>
          <cell r="E614" t="str">
            <v>23 dias</v>
          </cell>
          <cell r="F614">
            <v>38891.375</v>
          </cell>
          <cell r="G614">
            <v>38925.333333333336</v>
          </cell>
          <cell r="H614">
            <v>38925.333333333336</v>
          </cell>
          <cell r="I614">
            <v>38923.375</v>
          </cell>
          <cell r="J614">
            <v>38959.729166666664</v>
          </cell>
          <cell r="K614" t="str">
            <v>NA</v>
          </cell>
          <cell r="L614">
            <v>0.66</v>
          </cell>
          <cell r="M614">
            <v>15</v>
          </cell>
          <cell r="N614">
            <v>6.3</v>
          </cell>
          <cell r="O614">
            <v>0</v>
          </cell>
          <cell r="P614">
            <v>42</v>
          </cell>
          <cell r="R614" t="str">
            <v>617;618</v>
          </cell>
          <cell r="T614">
            <v>38959</v>
          </cell>
        </row>
        <row r="615">
          <cell r="B615" t="str">
            <v>DE.505.DU.01</v>
          </cell>
          <cell r="D615" t="str">
            <v>Centro De Controle De Motores</v>
          </cell>
          <cell r="E615" t="str">
            <v>23 dias</v>
          </cell>
          <cell r="F615">
            <v>38891.375</v>
          </cell>
          <cell r="G615">
            <v>38925.333333333336</v>
          </cell>
          <cell r="H615">
            <v>38925.333333333336</v>
          </cell>
          <cell r="I615">
            <v>38910.375</v>
          </cell>
          <cell r="J615">
            <v>38959.729166666664</v>
          </cell>
          <cell r="K615" t="str">
            <v>NA</v>
          </cell>
          <cell r="L615">
            <v>0.48</v>
          </cell>
          <cell r="M615">
            <v>11</v>
          </cell>
          <cell r="N615">
            <v>6.3</v>
          </cell>
          <cell r="O615">
            <v>0</v>
          </cell>
          <cell r="P615">
            <v>57.27</v>
          </cell>
          <cell r="Q615" t="str">
            <v>575TT</v>
          </cell>
          <cell r="R615" t="str">
            <v>614TT</v>
          </cell>
          <cell r="S615" t="str">
            <v>EQUIPE ELE</v>
          </cell>
          <cell r="T615">
            <v>38959</v>
          </cell>
        </row>
        <row r="616">
          <cell r="B616" t="str">
            <v>DE.505.DU.02</v>
          </cell>
          <cell r="D616" t="str">
            <v>Quadro De Distribuição 4,16kV</v>
          </cell>
          <cell r="E616" t="str">
            <v>3 dias</v>
          </cell>
          <cell r="F616">
            <v>38910.375</v>
          </cell>
          <cell r="G616">
            <v>38957.333333333336</v>
          </cell>
          <cell r="H616" t="str">
            <v>NA</v>
          </cell>
          <cell r="I616">
            <v>38915.375</v>
          </cell>
          <cell r="J616">
            <v>38959.729166666664</v>
          </cell>
          <cell r="K616" t="str">
            <v>NA</v>
          </cell>
          <cell r="L616">
            <v>0.04</v>
          </cell>
          <cell r="M616">
            <v>1</v>
          </cell>
          <cell r="N616">
            <v>0</v>
          </cell>
          <cell r="O616">
            <v>0</v>
          </cell>
          <cell r="P616">
            <v>0</v>
          </cell>
          <cell r="Q616" t="str">
            <v>613TT</v>
          </cell>
          <cell r="R616" t="str">
            <v>615TT</v>
          </cell>
          <cell r="S616" t="str">
            <v>EQUIPE ELE</v>
          </cell>
          <cell r="T616">
            <v>38959</v>
          </cell>
        </row>
        <row r="617">
          <cell r="B617" t="str">
            <v>DE.505.DU.03</v>
          </cell>
          <cell r="D617" t="str">
            <v>Tomadas De Maquinas De Solda</v>
          </cell>
          <cell r="E617" t="str">
            <v>6 dias</v>
          </cell>
          <cell r="F617">
            <v>38915.375</v>
          </cell>
          <cell r="G617">
            <v>38952.333333333336</v>
          </cell>
          <cell r="H617" t="str">
            <v>NA</v>
          </cell>
          <cell r="I617">
            <v>38923.375</v>
          </cell>
          <cell r="J617">
            <v>38959.729166666664</v>
          </cell>
          <cell r="K617" t="str">
            <v>NA</v>
          </cell>
          <cell r="L617">
            <v>0.13</v>
          </cell>
          <cell r="M617">
            <v>3</v>
          </cell>
          <cell r="N617">
            <v>0</v>
          </cell>
          <cell r="O617">
            <v>0</v>
          </cell>
          <cell r="P617">
            <v>0</v>
          </cell>
          <cell r="Q617" t="str">
            <v>614TT</v>
          </cell>
          <cell r="S617" t="str">
            <v>EQUIPE ELE</v>
          </cell>
          <cell r="T617">
            <v>38959</v>
          </cell>
        </row>
        <row r="618">
          <cell r="D618" t="str">
            <v>Desenho De Detalhamento</v>
          </cell>
          <cell r="E618" t="str">
            <v>39 dias</v>
          </cell>
          <cell r="F618">
            <v>38923.375</v>
          </cell>
          <cell r="G618">
            <v>38960.333333333336</v>
          </cell>
          <cell r="H618">
            <v>38960.333333333336</v>
          </cell>
          <cell r="I618">
            <v>38982.375</v>
          </cell>
          <cell r="J618">
            <v>39020.729166666664</v>
          </cell>
          <cell r="K618" t="str">
            <v>NA</v>
          </cell>
          <cell r="L618">
            <v>0.89</v>
          </cell>
          <cell r="M618">
            <v>20.38</v>
          </cell>
          <cell r="N618">
            <v>0.9</v>
          </cell>
          <cell r="O618">
            <v>0</v>
          </cell>
          <cell r="P618">
            <v>4.42</v>
          </cell>
          <cell r="R618">
            <v>624</v>
          </cell>
          <cell r="T618">
            <v>39020</v>
          </cell>
        </row>
        <row r="619">
          <cell r="B619" t="str">
            <v>DE.505.DD.01</v>
          </cell>
          <cell r="D619" t="str">
            <v>Estudo De Fluxo De Potência</v>
          </cell>
          <cell r="E619" t="str">
            <v>22 dias</v>
          </cell>
          <cell r="F619">
            <v>38923.375</v>
          </cell>
          <cell r="G619">
            <v>38960.333333333336</v>
          </cell>
          <cell r="H619" t="str">
            <v>NA</v>
          </cell>
          <cell r="I619">
            <v>38957.375</v>
          </cell>
          <cell r="J619">
            <v>38993.729166666664</v>
          </cell>
          <cell r="K619" t="str">
            <v>NA</v>
          </cell>
          <cell r="L619">
            <v>0.5</v>
          </cell>
          <cell r="M619">
            <v>11.38</v>
          </cell>
          <cell r="N619">
            <v>0</v>
          </cell>
          <cell r="O619">
            <v>0</v>
          </cell>
          <cell r="P619">
            <v>0</v>
          </cell>
          <cell r="Q619">
            <v>612</v>
          </cell>
          <cell r="R619">
            <v>619</v>
          </cell>
          <cell r="S619" t="str">
            <v>EQUIPE ELE</v>
          </cell>
          <cell r="T619">
            <v>38993</v>
          </cell>
        </row>
        <row r="620">
          <cell r="B620" t="str">
            <v>DE.505.DD.02</v>
          </cell>
          <cell r="D620" t="str">
            <v>Malha Geral De Aterramento</v>
          </cell>
          <cell r="E620" t="str">
            <v>6 dias</v>
          </cell>
          <cell r="F620">
            <v>38957.375</v>
          </cell>
          <cell r="G620">
            <v>38987.333333333336</v>
          </cell>
          <cell r="H620">
            <v>38987.333333333336</v>
          </cell>
          <cell r="I620">
            <v>38965.375</v>
          </cell>
          <cell r="J620">
            <v>38994.729166666664</v>
          </cell>
          <cell r="K620" t="str">
            <v>NA</v>
          </cell>
          <cell r="L620">
            <v>0.09</v>
          </cell>
          <cell r="M620">
            <v>2</v>
          </cell>
          <cell r="N620">
            <v>0.9</v>
          </cell>
          <cell r="O620">
            <v>0</v>
          </cell>
          <cell r="P620">
            <v>45</v>
          </cell>
          <cell r="Q620">
            <v>612</v>
          </cell>
          <cell r="S620" t="str">
            <v>EQUIPE ELE</v>
          </cell>
          <cell r="T620">
            <v>38994</v>
          </cell>
        </row>
        <row r="621">
          <cell r="B621" t="str">
            <v>DE.505.DD.03</v>
          </cell>
          <cell r="D621" t="str">
            <v>Rede Geral De Dutos</v>
          </cell>
          <cell r="E621" t="str">
            <v>13 dias</v>
          </cell>
          <cell r="F621">
            <v>38957.375</v>
          </cell>
          <cell r="G621">
            <v>38994.333333333336</v>
          </cell>
          <cell r="H621" t="str">
            <v>NA</v>
          </cell>
          <cell r="I621">
            <v>38978.375</v>
          </cell>
          <cell r="J621">
            <v>39014.729166666664</v>
          </cell>
          <cell r="K621" t="str">
            <v>NA</v>
          </cell>
          <cell r="L621">
            <v>0.26</v>
          </cell>
          <cell r="M621">
            <v>6</v>
          </cell>
          <cell r="N621">
            <v>0</v>
          </cell>
          <cell r="O621">
            <v>0</v>
          </cell>
          <cell r="P621">
            <v>0</v>
          </cell>
          <cell r="Q621">
            <v>617</v>
          </cell>
          <cell r="R621">
            <v>620</v>
          </cell>
          <cell r="S621" t="str">
            <v>EQUIPE ELE</v>
          </cell>
          <cell r="T621">
            <v>39014</v>
          </cell>
        </row>
        <row r="622">
          <cell r="B622" t="str">
            <v>DE.505.DD.04</v>
          </cell>
          <cell r="D622" t="str">
            <v>Pipe Rack - Bandejamento</v>
          </cell>
          <cell r="E622" t="str">
            <v>4 dias</v>
          </cell>
          <cell r="F622">
            <v>38978.375</v>
          </cell>
          <cell r="G622">
            <v>39015.333333333336</v>
          </cell>
          <cell r="H622" t="str">
            <v>NA</v>
          </cell>
          <cell r="I622">
            <v>38982.375</v>
          </cell>
          <cell r="J622">
            <v>39020.729166666664</v>
          </cell>
          <cell r="K622" t="str">
            <v>NA</v>
          </cell>
          <cell r="L622">
            <v>0.04</v>
          </cell>
          <cell r="M622">
            <v>1</v>
          </cell>
          <cell r="N622">
            <v>0</v>
          </cell>
          <cell r="O622">
            <v>0</v>
          </cell>
          <cell r="P622">
            <v>0</v>
          </cell>
          <cell r="Q622">
            <v>619</v>
          </cell>
          <cell r="S622" t="str">
            <v>EQUIPE ELE</v>
          </cell>
          <cell r="T622">
            <v>39020</v>
          </cell>
        </row>
        <row r="623">
          <cell r="B623" t="str">
            <v>DE.505.DE.01</v>
          </cell>
          <cell r="D623" t="str">
            <v>Detalhes Típicos - Iluminação, Aterramento e Força</v>
          </cell>
          <cell r="E623" t="str">
            <v>15 dias</v>
          </cell>
          <cell r="F623">
            <v>38957.375</v>
          </cell>
          <cell r="G623">
            <v>38842.333333333336</v>
          </cell>
          <cell r="H623">
            <v>38842.333333333336</v>
          </cell>
          <cell r="I623">
            <v>38980.375</v>
          </cell>
          <cell r="J623">
            <v>38862.729166666664</v>
          </cell>
          <cell r="K623">
            <v>38862.729166666664</v>
          </cell>
          <cell r="L623">
            <v>1.48</v>
          </cell>
          <cell r="M623">
            <v>33.75</v>
          </cell>
          <cell r="N623">
            <v>33.75</v>
          </cell>
          <cell r="O623">
            <v>0</v>
          </cell>
          <cell r="P623">
            <v>100</v>
          </cell>
          <cell r="Q623" t="str">
            <v>582II</v>
          </cell>
          <cell r="S623" t="str">
            <v>EQUIPE ELE</v>
          </cell>
          <cell r="T623">
            <v>38862</v>
          </cell>
        </row>
        <row r="624">
          <cell r="B624" t="str">
            <v>DE.505.ED.01</v>
          </cell>
          <cell r="D624" t="str">
            <v>Estudos / Planos - Estudo Demanda</v>
          </cell>
          <cell r="E624" t="str">
            <v>25 dias</v>
          </cell>
          <cell r="F624">
            <v>38923.375</v>
          </cell>
          <cell r="G624">
            <v>38945.333333333336</v>
          </cell>
          <cell r="H624" t="str">
            <v>NA</v>
          </cell>
          <cell r="I624">
            <v>38932.375</v>
          </cell>
          <cell r="J624">
            <v>38981.729166666664</v>
          </cell>
          <cell r="K624" t="str">
            <v>NA</v>
          </cell>
          <cell r="L624">
            <v>0.93</v>
          </cell>
          <cell r="M624">
            <v>21.25</v>
          </cell>
          <cell r="N624">
            <v>0</v>
          </cell>
          <cell r="O624">
            <v>0</v>
          </cell>
          <cell r="P624">
            <v>0</v>
          </cell>
          <cell r="Q624">
            <v>584</v>
          </cell>
          <cell r="S624" t="str">
            <v>EQUIPE ELE</v>
          </cell>
          <cell r="T624">
            <v>38981</v>
          </cell>
        </row>
        <row r="625">
          <cell r="B625" t="str">
            <v>DE.505.FD.01</v>
          </cell>
          <cell r="D625" t="str">
            <v>FD's - Transformador, Painel e Torre de Iluminação</v>
          </cell>
          <cell r="E625" t="str">
            <v>5 dias</v>
          </cell>
          <cell r="F625" t="str">
            <v>NA</v>
          </cell>
          <cell r="G625">
            <v>38960.333333333336</v>
          </cell>
          <cell r="H625" t="str">
            <v>NA</v>
          </cell>
          <cell r="I625" t="str">
            <v>NA</v>
          </cell>
          <cell r="J625">
            <v>38966.729166666664</v>
          </cell>
          <cell r="K625" t="str">
            <v>NA</v>
          </cell>
          <cell r="L625">
            <v>0.17</v>
          </cell>
          <cell r="M625">
            <v>4</v>
          </cell>
          <cell r="N625">
            <v>0</v>
          </cell>
          <cell r="O625">
            <v>0</v>
          </cell>
          <cell r="P625">
            <v>0</v>
          </cell>
          <cell r="Q625">
            <v>585</v>
          </cell>
          <cell r="S625" t="str">
            <v>EQUIPE ELE</v>
          </cell>
          <cell r="T625">
            <v>38966</v>
          </cell>
        </row>
        <row r="626">
          <cell r="B626" t="str">
            <v>DE.505.LM.01</v>
          </cell>
          <cell r="D626" t="str">
            <v>Lista De Materiais</v>
          </cell>
          <cell r="E626" t="str">
            <v>4 dias</v>
          </cell>
          <cell r="F626">
            <v>38982.375</v>
          </cell>
          <cell r="G626">
            <v>39021.333333333336</v>
          </cell>
          <cell r="H626" t="str">
            <v>NA</v>
          </cell>
          <cell r="I626">
            <v>38988.375</v>
          </cell>
          <cell r="J626">
            <v>39028.729166666664</v>
          </cell>
          <cell r="K626" t="str">
            <v>NA</v>
          </cell>
          <cell r="L626">
            <v>0.03</v>
          </cell>
          <cell r="M626">
            <v>0.63</v>
          </cell>
          <cell r="N626">
            <v>0</v>
          </cell>
          <cell r="O626">
            <v>0</v>
          </cell>
          <cell r="P626">
            <v>0</v>
          </cell>
          <cell r="Q626">
            <v>616</v>
          </cell>
          <cell r="S626" t="str">
            <v>EQUIPE ELE[150%]</v>
          </cell>
          <cell r="T626">
            <v>39028</v>
          </cell>
        </row>
        <row r="627">
          <cell r="B627" t="str">
            <v>DE.505.PQ.01</v>
          </cell>
          <cell r="D627" t="str">
            <v>Planilha De Quantitativos</v>
          </cell>
          <cell r="E627" t="str">
            <v>10 dias</v>
          </cell>
          <cell r="F627">
            <v>38982.375</v>
          </cell>
          <cell r="G627">
            <v>38924.333333333336</v>
          </cell>
          <cell r="H627">
            <v>38924.333333333336</v>
          </cell>
          <cell r="I627">
            <v>38988.604166666664</v>
          </cell>
          <cell r="J627">
            <v>38937.729166666664</v>
          </cell>
          <cell r="K627">
            <v>38937.729166666664</v>
          </cell>
          <cell r="L627">
            <v>0.09</v>
          </cell>
          <cell r="M627">
            <v>2</v>
          </cell>
          <cell r="N627">
            <v>2</v>
          </cell>
          <cell r="O627">
            <v>0</v>
          </cell>
          <cell r="P627">
            <v>100</v>
          </cell>
          <cell r="Q627" t="str">
            <v>585II</v>
          </cell>
          <cell r="S627" t="str">
            <v>EQUIPE ELE</v>
          </cell>
          <cell r="T627">
            <v>38937</v>
          </cell>
        </row>
        <row r="628">
          <cell r="B628" t="str">
            <v>1.4.2</v>
          </cell>
          <cell r="C628" t="str">
            <v>510A</v>
          </cell>
          <cell r="D628" t="str">
            <v>Subestações, Linhas de Transmissão</v>
          </cell>
          <cell r="E628" t="str">
            <v>156 dias</v>
          </cell>
          <cell r="F628">
            <v>38793.375</v>
          </cell>
          <cell r="G628">
            <v>38833.333333333336</v>
          </cell>
          <cell r="H628">
            <v>38833.333333333336</v>
          </cell>
          <cell r="I628">
            <v>38988.375</v>
          </cell>
          <cell r="J628">
            <v>39066.729166666664</v>
          </cell>
          <cell r="K628" t="str">
            <v>NA</v>
          </cell>
          <cell r="L628">
            <v>8.23</v>
          </cell>
          <cell r="M628">
            <v>188.38</v>
          </cell>
          <cell r="N628">
            <v>12.16</v>
          </cell>
          <cell r="O628">
            <v>6.46</v>
          </cell>
          <cell r="P628">
            <v>6.46</v>
          </cell>
          <cell r="T628">
            <v>39066</v>
          </cell>
        </row>
        <row r="629">
          <cell r="D629" t="str">
            <v>Projeto Básico</v>
          </cell>
          <cell r="E629" t="str">
            <v>120 dias</v>
          </cell>
          <cell r="F629">
            <v>38793.375</v>
          </cell>
          <cell r="G629">
            <v>38833.333333333336</v>
          </cell>
          <cell r="H629">
            <v>38833.333333333336</v>
          </cell>
          <cell r="I629">
            <v>38877.375</v>
          </cell>
          <cell r="J629">
            <v>39013.729166666664</v>
          </cell>
          <cell r="K629" t="str">
            <v>NA</v>
          </cell>
          <cell r="L629">
            <v>1.08</v>
          </cell>
          <cell r="M629">
            <v>24.75</v>
          </cell>
          <cell r="N629">
            <v>10.08</v>
          </cell>
          <cell r="O629">
            <v>40.71</v>
          </cell>
          <cell r="P629">
            <v>40.71</v>
          </cell>
          <cell r="R629" t="str">
            <v>641;642</v>
          </cell>
          <cell r="T629">
            <v>39013</v>
          </cell>
        </row>
        <row r="630">
          <cell r="D630" t="str">
            <v>Estrutura Metálica</v>
          </cell>
          <cell r="E630" t="str">
            <v>6 dias</v>
          </cell>
          <cell r="F630" t="str">
            <v>NA</v>
          </cell>
          <cell r="G630">
            <v>39006.333333333336</v>
          </cell>
          <cell r="H630" t="str">
            <v>NA</v>
          </cell>
          <cell r="I630" t="str">
            <v>NA</v>
          </cell>
          <cell r="J630">
            <v>39013.729166666664</v>
          </cell>
          <cell r="K630" t="str">
            <v>NA</v>
          </cell>
          <cell r="L630">
            <v>0.3</v>
          </cell>
          <cell r="M630">
            <v>6.88</v>
          </cell>
          <cell r="N630">
            <v>0</v>
          </cell>
          <cell r="O630">
            <v>0</v>
          </cell>
          <cell r="P630">
            <v>0</v>
          </cell>
          <cell r="T630">
            <v>39013</v>
          </cell>
        </row>
        <row r="631">
          <cell r="B631" t="str">
            <v>BD.510.MC.01</v>
          </cell>
          <cell r="D631" t="str">
            <v>Memória De Cálculo</v>
          </cell>
          <cell r="E631" t="str">
            <v>6 dias</v>
          </cell>
          <cell r="F631" t="str">
            <v>NA</v>
          </cell>
          <cell r="G631">
            <v>39006.333333333336</v>
          </cell>
          <cell r="H631" t="str">
            <v>NA</v>
          </cell>
          <cell r="I631" t="str">
            <v>NA</v>
          </cell>
          <cell r="J631">
            <v>39013.729166666664</v>
          </cell>
          <cell r="K631" t="str">
            <v>NA</v>
          </cell>
          <cell r="L631">
            <v>0.3</v>
          </cell>
          <cell r="M631">
            <v>6.88</v>
          </cell>
          <cell r="N631">
            <v>0</v>
          </cell>
          <cell r="O631">
            <v>0</v>
          </cell>
          <cell r="P631">
            <v>0</v>
          </cell>
          <cell r="Q631">
            <v>467</v>
          </cell>
          <cell r="S631" t="str">
            <v>EQUIPE MET</v>
          </cell>
          <cell r="T631">
            <v>39013</v>
          </cell>
        </row>
        <row r="632">
          <cell r="D632" t="str">
            <v>Elétrica</v>
          </cell>
          <cell r="E632" t="str">
            <v>88 dias</v>
          </cell>
          <cell r="F632">
            <v>38793.375</v>
          </cell>
          <cell r="G632">
            <v>38833.333333333336</v>
          </cell>
          <cell r="H632">
            <v>38833.333333333336</v>
          </cell>
          <cell r="I632">
            <v>38877.375</v>
          </cell>
          <cell r="J632">
            <v>38961.729166666664</v>
          </cell>
          <cell r="K632" t="str">
            <v>NA</v>
          </cell>
          <cell r="L632">
            <v>0.78</v>
          </cell>
          <cell r="M632">
            <v>17.88</v>
          </cell>
          <cell r="N632">
            <v>10.08</v>
          </cell>
          <cell r="O632">
            <v>0</v>
          </cell>
          <cell r="P632">
            <v>56.36</v>
          </cell>
          <cell r="T632">
            <v>38961</v>
          </cell>
        </row>
        <row r="633">
          <cell r="B633" t="str">
            <v>BE.510.AJ.01</v>
          </cell>
          <cell r="D633" t="str">
            <v>Arranjos/ Layout’s/ Plano Diretor</v>
          </cell>
          <cell r="E633" t="str">
            <v>80 dias</v>
          </cell>
          <cell r="F633">
            <v>38793.375</v>
          </cell>
          <cell r="G633">
            <v>38833.333333333336</v>
          </cell>
          <cell r="H633">
            <v>38833.333333333336</v>
          </cell>
          <cell r="I633">
            <v>38839.375</v>
          </cell>
          <cell r="J633">
            <v>38951.729166666664</v>
          </cell>
          <cell r="K633" t="str">
            <v>NA</v>
          </cell>
          <cell r="L633">
            <v>0.43</v>
          </cell>
          <cell r="M633">
            <v>9.75</v>
          </cell>
          <cell r="N633">
            <v>4.05</v>
          </cell>
          <cell r="O633">
            <v>0</v>
          </cell>
          <cell r="P633">
            <v>41.54</v>
          </cell>
          <cell r="Q633" t="str">
            <v>16II</v>
          </cell>
          <cell r="R633" t="str">
            <v>632;633II;635</v>
          </cell>
          <cell r="S633" t="str">
            <v>EQUIPE ELE</v>
          </cell>
          <cell r="T633">
            <v>38951</v>
          </cell>
        </row>
        <row r="634">
          <cell r="D634" t="str">
            <v>APROVAÇÃO EBX</v>
          </cell>
          <cell r="E634" t="str">
            <v>5 dias</v>
          </cell>
          <cell r="F634">
            <v>38839.375</v>
          </cell>
          <cell r="G634">
            <v>38952.333333333336</v>
          </cell>
          <cell r="H634" t="str">
            <v>NA</v>
          </cell>
          <cell r="I634">
            <v>38846.375</v>
          </cell>
          <cell r="J634">
            <v>38958.729166666664</v>
          </cell>
          <cell r="K634" t="str">
            <v>NA</v>
          </cell>
          <cell r="L634">
            <v>0</v>
          </cell>
          <cell r="M634">
            <v>0</v>
          </cell>
          <cell r="N634">
            <v>0</v>
          </cell>
          <cell r="O634">
            <v>0</v>
          </cell>
          <cell r="P634" t="str">
            <v>#ERRO</v>
          </cell>
          <cell r="Q634">
            <v>631</v>
          </cell>
          <cell r="T634">
            <v>38958</v>
          </cell>
        </row>
        <row r="635">
          <cell r="B635" t="str">
            <v>BE.510.DB.01</v>
          </cell>
          <cell r="D635" t="str">
            <v>Desenho Básico</v>
          </cell>
          <cell r="E635" t="str">
            <v>23 dias</v>
          </cell>
          <cell r="F635">
            <v>38839.375</v>
          </cell>
          <cell r="G635">
            <v>38920.333333333336</v>
          </cell>
          <cell r="H635">
            <v>38920.333333333336</v>
          </cell>
          <cell r="I635">
            <v>38870.375</v>
          </cell>
          <cell r="J635">
            <v>38954.729166666664</v>
          </cell>
          <cell r="K635" t="str">
            <v>NA</v>
          </cell>
          <cell r="L635">
            <v>0.22</v>
          </cell>
          <cell r="M635">
            <v>5</v>
          </cell>
          <cell r="N635">
            <v>4</v>
          </cell>
          <cell r="O635">
            <v>0</v>
          </cell>
          <cell r="P635">
            <v>80</v>
          </cell>
          <cell r="Q635" t="str">
            <v>631II</v>
          </cell>
          <cell r="R635" t="str">
            <v>634;637II</v>
          </cell>
          <cell r="S635" t="str">
            <v>EQUIPE ELE</v>
          </cell>
          <cell r="T635">
            <v>38954</v>
          </cell>
        </row>
        <row r="636">
          <cell r="D636" t="str">
            <v>APROVAÇÃO EBX</v>
          </cell>
          <cell r="E636" t="str">
            <v>5 dias</v>
          </cell>
          <cell r="F636">
            <v>38870.375</v>
          </cell>
          <cell r="G636">
            <v>38957.333333333336</v>
          </cell>
          <cell r="H636" t="str">
            <v>NA</v>
          </cell>
          <cell r="I636">
            <v>38877.375</v>
          </cell>
          <cell r="J636">
            <v>38961.729166666664</v>
          </cell>
          <cell r="K636" t="str">
            <v>NA</v>
          </cell>
          <cell r="L636">
            <v>0</v>
          </cell>
          <cell r="M636">
            <v>0</v>
          </cell>
          <cell r="N636">
            <v>0</v>
          </cell>
          <cell r="O636">
            <v>0</v>
          </cell>
          <cell r="P636" t="str">
            <v>#ERRO</v>
          </cell>
          <cell r="Q636">
            <v>633</v>
          </cell>
          <cell r="T636">
            <v>38961</v>
          </cell>
        </row>
        <row r="637">
          <cell r="B637" t="str">
            <v>BE.510.DU.01</v>
          </cell>
          <cell r="D637" t="str">
            <v>Diagrama Unifilar</v>
          </cell>
          <cell r="E637" t="str">
            <v>83 dias</v>
          </cell>
          <cell r="F637">
            <v>38839.375</v>
          </cell>
          <cell r="G637">
            <v>38833.333333333336</v>
          </cell>
          <cell r="H637">
            <v>38833.333333333336</v>
          </cell>
          <cell r="I637">
            <v>38845.375</v>
          </cell>
          <cell r="J637">
            <v>38954.729166666664</v>
          </cell>
          <cell r="K637" t="str">
            <v>NA</v>
          </cell>
          <cell r="L637">
            <v>0.09</v>
          </cell>
          <cell r="M637">
            <v>2</v>
          </cell>
          <cell r="N637">
            <v>1.8</v>
          </cell>
          <cell r="O637">
            <v>0</v>
          </cell>
          <cell r="P637">
            <v>90</v>
          </cell>
          <cell r="Q637">
            <v>631</v>
          </cell>
          <cell r="R637" t="str">
            <v>636;637II;646</v>
          </cell>
          <cell r="S637" t="str">
            <v>EQUIPE ELE</v>
          </cell>
          <cell r="T637">
            <v>38954</v>
          </cell>
        </row>
        <row r="638">
          <cell r="D638" t="str">
            <v>APROVAÇÃO EBX</v>
          </cell>
          <cell r="E638" t="str">
            <v>5 dias</v>
          </cell>
          <cell r="F638">
            <v>38845.375</v>
          </cell>
          <cell r="G638">
            <v>38957.333333333336</v>
          </cell>
          <cell r="H638" t="str">
            <v>NA</v>
          </cell>
          <cell r="I638">
            <v>38852.375</v>
          </cell>
          <cell r="J638">
            <v>38961.729166666664</v>
          </cell>
          <cell r="K638" t="str">
            <v>NA</v>
          </cell>
          <cell r="L638">
            <v>0</v>
          </cell>
          <cell r="M638">
            <v>0</v>
          </cell>
          <cell r="N638">
            <v>0</v>
          </cell>
          <cell r="O638">
            <v>0</v>
          </cell>
          <cell r="P638" t="str">
            <v>#ERRO</v>
          </cell>
          <cell r="Q638">
            <v>635</v>
          </cell>
          <cell r="T638">
            <v>38961</v>
          </cell>
        </row>
        <row r="639">
          <cell r="B639" t="str">
            <v>BE.510.FD.01</v>
          </cell>
          <cell r="D639" t="str">
            <v>Folha De Dadoes - Painel de Controle</v>
          </cell>
          <cell r="E639" t="str">
            <v>2 dias</v>
          </cell>
          <cell r="F639" t="str">
            <v>NA</v>
          </cell>
          <cell r="G639">
            <v>38958.333333333336</v>
          </cell>
          <cell r="H639">
            <v>38958.333333333336</v>
          </cell>
          <cell r="I639" t="str">
            <v>NA</v>
          </cell>
          <cell r="J639">
            <v>38959.729166666664</v>
          </cell>
          <cell r="K639" t="str">
            <v>NA</v>
          </cell>
          <cell r="L639">
            <v>0.05</v>
          </cell>
          <cell r="M639">
            <v>1.1299999999999999</v>
          </cell>
          <cell r="N639">
            <v>0.23</v>
          </cell>
          <cell r="O639">
            <v>0</v>
          </cell>
          <cell r="P639">
            <v>20</v>
          </cell>
          <cell r="Q639" t="str">
            <v>633II;635II</v>
          </cell>
          <cell r="S639" t="str">
            <v>EQUIPE ELE</v>
          </cell>
          <cell r="T639">
            <v>38959</v>
          </cell>
        </row>
        <row r="640">
          <cell r="D640" t="str">
            <v>Projeto Detalhado</v>
          </cell>
          <cell r="E640" t="str">
            <v>96 dias</v>
          </cell>
          <cell r="F640">
            <v>38877.375</v>
          </cell>
          <cell r="G640">
            <v>38922.333333333336</v>
          </cell>
          <cell r="H640">
            <v>38922.333333333336</v>
          </cell>
          <cell r="I640">
            <v>38988.375</v>
          </cell>
          <cell r="J640">
            <v>39066.729166666664</v>
          </cell>
          <cell r="K640" t="str">
            <v>NA</v>
          </cell>
          <cell r="L640">
            <v>7.15</v>
          </cell>
          <cell r="M640">
            <v>163.63</v>
          </cell>
          <cell r="N640">
            <v>2.09</v>
          </cell>
          <cell r="O640">
            <v>1.28</v>
          </cell>
          <cell r="P640">
            <v>1.28</v>
          </cell>
          <cell r="T640">
            <v>39066</v>
          </cell>
        </row>
        <row r="641">
          <cell r="D641" t="str">
            <v>Civil</v>
          </cell>
          <cell r="E641" t="str">
            <v>36 dias</v>
          </cell>
          <cell r="F641">
            <v>38877.375</v>
          </cell>
          <cell r="G641">
            <v>39014.333333333336</v>
          </cell>
          <cell r="H641" t="str">
            <v>NA</v>
          </cell>
          <cell r="I641">
            <v>38961.604166666664</v>
          </cell>
          <cell r="J641">
            <v>39066.729166666664</v>
          </cell>
          <cell r="K641" t="str">
            <v>NA</v>
          </cell>
          <cell r="L641">
            <v>3.19</v>
          </cell>
          <cell r="M641">
            <v>73</v>
          </cell>
          <cell r="N641">
            <v>0</v>
          </cell>
          <cell r="O641">
            <v>0</v>
          </cell>
          <cell r="P641">
            <v>0</v>
          </cell>
          <cell r="T641">
            <v>39066</v>
          </cell>
        </row>
        <row r="642">
          <cell r="D642" t="str">
            <v>Desenho De Detalhamento</v>
          </cell>
          <cell r="E642" t="str">
            <v>36 dias</v>
          </cell>
          <cell r="F642">
            <v>38877.375</v>
          </cell>
          <cell r="G642">
            <v>39014.333333333336</v>
          </cell>
          <cell r="H642" t="str">
            <v>NA</v>
          </cell>
          <cell r="I642">
            <v>38961.604166666664</v>
          </cell>
          <cell r="J642">
            <v>39066.729166666664</v>
          </cell>
          <cell r="K642" t="str">
            <v>NA</v>
          </cell>
          <cell r="L642">
            <v>3.19</v>
          </cell>
          <cell r="M642">
            <v>73</v>
          </cell>
          <cell r="N642">
            <v>0</v>
          </cell>
          <cell r="O642">
            <v>0</v>
          </cell>
          <cell r="P642">
            <v>0</v>
          </cell>
          <cell r="T642">
            <v>39066</v>
          </cell>
        </row>
        <row r="643">
          <cell r="B643" t="str">
            <v>DC.510.DD.01</v>
          </cell>
          <cell r="D643" t="str">
            <v>Arquitetura</v>
          </cell>
          <cell r="E643" t="str">
            <v>13 dias</v>
          </cell>
          <cell r="F643">
            <v>38877.375</v>
          </cell>
          <cell r="G643">
            <v>39014.333333333336</v>
          </cell>
          <cell r="H643" t="str">
            <v>NA</v>
          </cell>
          <cell r="I643">
            <v>38898.375</v>
          </cell>
          <cell r="J643">
            <v>39034.729166666664</v>
          </cell>
          <cell r="K643" t="str">
            <v>NA</v>
          </cell>
          <cell r="L643">
            <v>0.39</v>
          </cell>
          <cell r="M643">
            <v>9</v>
          </cell>
          <cell r="N643">
            <v>0</v>
          </cell>
          <cell r="O643">
            <v>0</v>
          </cell>
          <cell r="P643">
            <v>0</v>
          </cell>
          <cell r="Q643">
            <v>627</v>
          </cell>
          <cell r="S643" t="str">
            <v>EQUIPE ARQ</v>
          </cell>
          <cell r="T643">
            <v>39034</v>
          </cell>
        </row>
        <row r="644">
          <cell r="B644" t="str">
            <v>DC.510.DD.02</v>
          </cell>
          <cell r="D644" t="str">
            <v>Subestação 69kV - Fundação e Armação</v>
          </cell>
          <cell r="E644" t="str">
            <v>14 dias</v>
          </cell>
          <cell r="F644">
            <v>38877.375</v>
          </cell>
          <cell r="G644">
            <v>39014.333333333336</v>
          </cell>
          <cell r="H644" t="str">
            <v>NA</v>
          </cell>
          <cell r="I644">
            <v>38901.375</v>
          </cell>
          <cell r="J644">
            <v>39035.729166666664</v>
          </cell>
          <cell r="K644" t="str">
            <v>NA</v>
          </cell>
          <cell r="L644">
            <v>0.44</v>
          </cell>
          <cell r="M644">
            <v>10</v>
          </cell>
          <cell r="N644">
            <v>0</v>
          </cell>
          <cell r="O644">
            <v>0</v>
          </cell>
          <cell r="P644">
            <v>0</v>
          </cell>
          <cell r="Q644">
            <v>627</v>
          </cell>
          <cell r="R644" t="str">
            <v>643;676</v>
          </cell>
          <cell r="S644" t="str">
            <v>EQUIPE CIV</v>
          </cell>
          <cell r="T644">
            <v>39035</v>
          </cell>
        </row>
        <row r="645">
          <cell r="B645" t="str">
            <v>DC.510.DD.03</v>
          </cell>
          <cell r="D645" t="str">
            <v>Subestação Principal</v>
          </cell>
          <cell r="E645" t="str">
            <v>18 dias</v>
          </cell>
          <cell r="F645">
            <v>38901.375</v>
          </cell>
          <cell r="G645">
            <v>39037.333333333336</v>
          </cell>
          <cell r="H645" t="str">
            <v>NA</v>
          </cell>
          <cell r="I645">
            <v>38925.375</v>
          </cell>
          <cell r="J645">
            <v>39062.729166666664</v>
          </cell>
          <cell r="K645" t="str">
            <v>NA</v>
          </cell>
          <cell r="L645">
            <v>0.61</v>
          </cell>
          <cell r="M645">
            <v>14</v>
          </cell>
          <cell r="N645">
            <v>0</v>
          </cell>
          <cell r="O645">
            <v>0</v>
          </cell>
          <cell r="P645">
            <v>0</v>
          </cell>
          <cell r="Q645">
            <v>642</v>
          </cell>
          <cell r="R645" t="str">
            <v>644II</v>
          </cell>
          <cell r="S645" t="str">
            <v>EQUIPE CIV</v>
          </cell>
          <cell r="T645">
            <v>39062</v>
          </cell>
        </row>
        <row r="646">
          <cell r="B646" t="str">
            <v>DC.510.DD.04</v>
          </cell>
          <cell r="D646" t="str">
            <v>Salas Elétricas</v>
          </cell>
          <cell r="E646" t="str">
            <v>22 dias</v>
          </cell>
          <cell r="F646">
            <v>38925.375</v>
          </cell>
          <cell r="G646">
            <v>39037.333333333336</v>
          </cell>
          <cell r="H646" t="str">
            <v>NA</v>
          </cell>
          <cell r="I646">
            <v>38961.604166666664</v>
          </cell>
          <cell r="J646">
            <v>39066.729166666664</v>
          </cell>
          <cell r="K646" t="str">
            <v>NA</v>
          </cell>
          <cell r="L646">
            <v>1.75</v>
          </cell>
          <cell r="M646">
            <v>40</v>
          </cell>
          <cell r="N646">
            <v>0</v>
          </cell>
          <cell r="O646">
            <v>0</v>
          </cell>
          <cell r="P646">
            <v>0</v>
          </cell>
          <cell r="Q646" t="str">
            <v>643II</v>
          </cell>
          <cell r="S646" t="str">
            <v>EQUIPE CIV[200%]</v>
          </cell>
          <cell r="T646">
            <v>39066</v>
          </cell>
        </row>
        <row r="647">
          <cell r="D647" t="str">
            <v>Elétrica</v>
          </cell>
          <cell r="E647" t="str">
            <v>80 dias</v>
          </cell>
          <cell r="F647">
            <v>38901.375</v>
          </cell>
          <cell r="G647">
            <v>38922.333333333336</v>
          </cell>
          <cell r="H647">
            <v>38922.333333333336</v>
          </cell>
          <cell r="I647">
            <v>38988.375</v>
          </cell>
          <cell r="J647">
            <v>39044.729166666664</v>
          </cell>
          <cell r="K647" t="str">
            <v>NA</v>
          </cell>
          <cell r="L647">
            <v>3.96</v>
          </cell>
          <cell r="M647">
            <v>90.63</v>
          </cell>
          <cell r="N647">
            <v>2.09</v>
          </cell>
          <cell r="O647">
            <v>0</v>
          </cell>
          <cell r="P647">
            <v>2.2999999999999998</v>
          </cell>
          <cell r="T647">
            <v>39044</v>
          </cell>
        </row>
        <row r="648">
          <cell r="B648" t="str">
            <v>DE.510.DU.01</v>
          </cell>
          <cell r="D648" t="str">
            <v>Diagrama Unifilar - Subestações</v>
          </cell>
          <cell r="E648" t="str">
            <v>3 dias</v>
          </cell>
          <cell r="F648">
            <v>38901.375</v>
          </cell>
          <cell r="G648">
            <v>38957.333333333336</v>
          </cell>
          <cell r="H648">
            <v>38957.333333333336</v>
          </cell>
          <cell r="I648">
            <v>38904.375</v>
          </cell>
          <cell r="J648">
            <v>38959.729166666664</v>
          </cell>
          <cell r="K648" t="str">
            <v>NA</v>
          </cell>
          <cell r="L648">
            <v>7.0000000000000007E-2</v>
          </cell>
          <cell r="M648">
            <v>1.5</v>
          </cell>
          <cell r="N648">
            <v>1.1299999999999999</v>
          </cell>
          <cell r="O648">
            <v>0</v>
          </cell>
          <cell r="P648">
            <v>75</v>
          </cell>
          <cell r="Q648">
            <v>635</v>
          </cell>
          <cell r="R648" t="str">
            <v>648;656</v>
          </cell>
          <cell r="S648" t="str">
            <v>EQUIPE ELE</v>
          </cell>
          <cell r="T648">
            <v>38959</v>
          </cell>
        </row>
        <row r="649">
          <cell r="D649" t="str">
            <v>Desenho De Detalhamento</v>
          </cell>
          <cell r="E649" t="str">
            <v>51 dias</v>
          </cell>
          <cell r="F649">
            <v>38904.375</v>
          </cell>
          <cell r="G649">
            <v>38960.333333333336</v>
          </cell>
          <cell r="H649" t="str">
            <v>NA</v>
          </cell>
          <cell r="I649">
            <v>38981.375</v>
          </cell>
          <cell r="J649">
            <v>39041.729166666664</v>
          </cell>
          <cell r="K649" t="str">
            <v>NA</v>
          </cell>
          <cell r="L649">
            <v>2.1</v>
          </cell>
          <cell r="M649">
            <v>48</v>
          </cell>
          <cell r="N649">
            <v>0</v>
          </cell>
          <cell r="O649">
            <v>0</v>
          </cell>
          <cell r="P649">
            <v>0</v>
          </cell>
          <cell r="T649">
            <v>39041</v>
          </cell>
        </row>
        <row r="650">
          <cell r="B650" t="str">
            <v>DE.510.DD.01</v>
          </cell>
          <cell r="D650" t="str">
            <v>Distribuição De Eletrodutos</v>
          </cell>
          <cell r="E650" t="str">
            <v>8 dias</v>
          </cell>
          <cell r="F650">
            <v>38904.375</v>
          </cell>
          <cell r="G650">
            <v>38960.333333333336</v>
          </cell>
          <cell r="H650" t="str">
            <v>NA</v>
          </cell>
          <cell r="I650">
            <v>38916.375</v>
          </cell>
          <cell r="J650">
            <v>38973.729166666664</v>
          </cell>
          <cell r="K650" t="str">
            <v>NA</v>
          </cell>
          <cell r="L650">
            <v>0.13</v>
          </cell>
          <cell r="M650">
            <v>3</v>
          </cell>
          <cell r="N650">
            <v>0</v>
          </cell>
          <cell r="O650">
            <v>0</v>
          </cell>
          <cell r="P650">
            <v>0</v>
          </cell>
          <cell r="Q650">
            <v>646</v>
          </cell>
          <cell r="R650">
            <v>649</v>
          </cell>
          <cell r="S650" t="str">
            <v>EQUIPE ELE</v>
          </cell>
          <cell r="T650">
            <v>38973</v>
          </cell>
        </row>
        <row r="651">
          <cell r="B651" t="str">
            <v>DE.510.DD.02</v>
          </cell>
          <cell r="D651" t="str">
            <v>Malha De Terra</v>
          </cell>
          <cell r="E651" t="str">
            <v>8 dias</v>
          </cell>
          <cell r="F651">
            <v>38916.375</v>
          </cell>
          <cell r="G651">
            <v>38974.333333333336</v>
          </cell>
          <cell r="H651" t="str">
            <v>NA</v>
          </cell>
          <cell r="I651">
            <v>38926.375</v>
          </cell>
          <cell r="J651">
            <v>38985.729166666664</v>
          </cell>
          <cell r="K651" t="str">
            <v>NA</v>
          </cell>
          <cell r="L651">
            <v>0.13</v>
          </cell>
          <cell r="M651">
            <v>3</v>
          </cell>
          <cell r="N651">
            <v>0</v>
          </cell>
          <cell r="O651">
            <v>0</v>
          </cell>
          <cell r="P651">
            <v>0</v>
          </cell>
          <cell r="Q651">
            <v>648</v>
          </cell>
          <cell r="R651">
            <v>650</v>
          </cell>
          <cell r="S651" t="str">
            <v>EQUIPE ELE</v>
          </cell>
          <cell r="T651">
            <v>38985</v>
          </cell>
        </row>
        <row r="652">
          <cell r="B652" t="str">
            <v>DE.510.DD.03</v>
          </cell>
          <cell r="D652" t="str">
            <v>Linha De Transmissão</v>
          </cell>
          <cell r="E652" t="str">
            <v>15 dias</v>
          </cell>
          <cell r="F652">
            <v>38926.375</v>
          </cell>
          <cell r="G652">
            <v>38986.333333333336</v>
          </cell>
          <cell r="H652" t="str">
            <v>NA</v>
          </cell>
          <cell r="I652">
            <v>38951.375</v>
          </cell>
          <cell r="J652">
            <v>39008.729166666664</v>
          </cell>
          <cell r="K652" t="str">
            <v>NA</v>
          </cell>
          <cell r="L652">
            <v>0.33</v>
          </cell>
          <cell r="M652">
            <v>7.5</v>
          </cell>
          <cell r="N652">
            <v>0</v>
          </cell>
          <cell r="O652">
            <v>0</v>
          </cell>
          <cell r="P652">
            <v>0</v>
          </cell>
          <cell r="Q652">
            <v>649</v>
          </cell>
          <cell r="R652" t="str">
            <v>651;652;653;654</v>
          </cell>
          <cell r="S652" t="str">
            <v>EQUIPE ELE</v>
          </cell>
          <cell r="T652">
            <v>39008</v>
          </cell>
        </row>
        <row r="653">
          <cell r="B653" t="str">
            <v>DE.510.DD.04</v>
          </cell>
          <cell r="D653" t="str">
            <v>Linha De Distribuição De 13kV</v>
          </cell>
          <cell r="E653" t="str">
            <v>15 dias</v>
          </cell>
          <cell r="F653">
            <v>38951.375</v>
          </cell>
          <cell r="G653">
            <v>39009.333333333336</v>
          </cell>
          <cell r="H653" t="str">
            <v>NA</v>
          </cell>
          <cell r="I653">
            <v>38978.604166666664</v>
          </cell>
          <cell r="J653">
            <v>39031.729166666664</v>
          </cell>
          <cell r="K653" t="str">
            <v>NA</v>
          </cell>
          <cell r="L653">
            <v>0.9</v>
          </cell>
          <cell r="M653">
            <v>20.5</v>
          </cell>
          <cell r="N653">
            <v>0</v>
          </cell>
          <cell r="O653">
            <v>0</v>
          </cell>
          <cell r="P653">
            <v>0</v>
          </cell>
          <cell r="Q653">
            <v>650</v>
          </cell>
          <cell r="S653" t="str">
            <v>EQUIPE ELE[200%]</v>
          </cell>
          <cell r="T653">
            <v>39031</v>
          </cell>
        </row>
        <row r="654">
          <cell r="B654" t="str">
            <v>DE.510.DD.05</v>
          </cell>
          <cell r="D654" t="str">
            <v>Iluminação</v>
          </cell>
          <cell r="E654" t="str">
            <v>20 dias</v>
          </cell>
          <cell r="F654">
            <v>38951.375</v>
          </cell>
          <cell r="G654">
            <v>39009.333333333336</v>
          </cell>
          <cell r="H654" t="str">
            <v>NA</v>
          </cell>
          <cell r="I654">
            <v>38981.375</v>
          </cell>
          <cell r="J654">
            <v>39041.729166666664</v>
          </cell>
          <cell r="K654" t="str">
            <v>NA</v>
          </cell>
          <cell r="L654">
            <v>0.35</v>
          </cell>
          <cell r="M654">
            <v>8</v>
          </cell>
          <cell r="N654">
            <v>0</v>
          </cell>
          <cell r="O654">
            <v>0</v>
          </cell>
          <cell r="P654">
            <v>0</v>
          </cell>
          <cell r="Q654">
            <v>650</v>
          </cell>
          <cell r="S654" t="str">
            <v>EQUIPE ELE</v>
          </cell>
          <cell r="T654">
            <v>39041</v>
          </cell>
        </row>
        <row r="655">
          <cell r="B655" t="str">
            <v>DE.510.DD.06</v>
          </cell>
          <cell r="D655" t="str">
            <v>Rota De Cabos e Distribuição</v>
          </cell>
          <cell r="E655" t="str">
            <v>13 dias</v>
          </cell>
          <cell r="F655">
            <v>38951.375</v>
          </cell>
          <cell r="G655">
            <v>39009.333333333336</v>
          </cell>
          <cell r="H655" t="str">
            <v>NA</v>
          </cell>
          <cell r="I655">
            <v>38972.375</v>
          </cell>
          <cell r="J655">
            <v>39029.729166666664</v>
          </cell>
          <cell r="K655" t="str">
            <v>NA</v>
          </cell>
          <cell r="L655">
            <v>0.26</v>
          </cell>
          <cell r="M655">
            <v>6</v>
          </cell>
          <cell r="N655">
            <v>0</v>
          </cell>
          <cell r="O655">
            <v>0</v>
          </cell>
          <cell r="P655">
            <v>0</v>
          </cell>
          <cell r="Q655">
            <v>650</v>
          </cell>
          <cell r="S655" t="str">
            <v>EQUIPE ELE</v>
          </cell>
          <cell r="T655">
            <v>39029</v>
          </cell>
        </row>
        <row r="656">
          <cell r="B656" t="str">
            <v>DE.510.AJ.01</v>
          </cell>
          <cell r="D656" t="str">
            <v>Arranjos/ Layout’s/ Plano Diretor - Arranjos Dos Equipamentos e Requisitos Civis</v>
          </cell>
          <cell r="E656" t="str">
            <v>23 dias</v>
          </cell>
          <cell r="F656">
            <v>38951.375</v>
          </cell>
          <cell r="G656">
            <v>39009.333333333336</v>
          </cell>
          <cell r="H656" t="str">
            <v>NA</v>
          </cell>
          <cell r="I656">
            <v>38986.375</v>
          </cell>
          <cell r="J656">
            <v>39044.729166666664</v>
          </cell>
          <cell r="K656" t="str">
            <v>NA</v>
          </cell>
          <cell r="L656">
            <v>0.35</v>
          </cell>
          <cell r="M656">
            <v>8</v>
          </cell>
          <cell r="N656">
            <v>0</v>
          </cell>
          <cell r="O656">
            <v>0</v>
          </cell>
          <cell r="P656">
            <v>0</v>
          </cell>
          <cell r="Q656">
            <v>650</v>
          </cell>
          <cell r="S656" t="str">
            <v>EQUIPE ELE</v>
          </cell>
          <cell r="T656">
            <v>39044</v>
          </cell>
        </row>
        <row r="657">
          <cell r="D657" t="str">
            <v>Diagrama Funcional</v>
          </cell>
          <cell r="E657" t="str">
            <v>26 dias</v>
          </cell>
          <cell r="F657">
            <v>38904.375</v>
          </cell>
          <cell r="G657">
            <v>38960.333333333336</v>
          </cell>
          <cell r="H657" t="str">
            <v>NA</v>
          </cell>
          <cell r="I657">
            <v>38940.375</v>
          </cell>
          <cell r="J657">
            <v>38999.729166666664</v>
          </cell>
          <cell r="K657" t="str">
            <v>NA</v>
          </cell>
          <cell r="L657">
            <v>0.71</v>
          </cell>
          <cell r="M657">
            <v>16.25</v>
          </cell>
          <cell r="N657">
            <v>0</v>
          </cell>
          <cell r="O657">
            <v>0</v>
          </cell>
          <cell r="P657">
            <v>0</v>
          </cell>
          <cell r="R657">
            <v>660</v>
          </cell>
          <cell r="T657">
            <v>38999</v>
          </cell>
        </row>
        <row r="658">
          <cell r="B658" t="str">
            <v>DE.510.DF.01</v>
          </cell>
          <cell r="D658" t="str">
            <v>Subestação Derivação De 69kV</v>
          </cell>
          <cell r="E658" t="str">
            <v>12 dias</v>
          </cell>
          <cell r="F658">
            <v>38904.375</v>
          </cell>
          <cell r="G658">
            <v>38960.333333333336</v>
          </cell>
          <cell r="H658" t="str">
            <v>NA</v>
          </cell>
          <cell r="I658">
            <v>38922.375</v>
          </cell>
          <cell r="J658">
            <v>38979.729166666664</v>
          </cell>
          <cell r="K658" t="str">
            <v>NA</v>
          </cell>
          <cell r="L658">
            <v>0.37</v>
          </cell>
          <cell r="M658">
            <v>8.5</v>
          </cell>
          <cell r="N658">
            <v>0</v>
          </cell>
          <cell r="O658">
            <v>0</v>
          </cell>
          <cell r="P658">
            <v>0</v>
          </cell>
          <cell r="Q658">
            <v>646</v>
          </cell>
          <cell r="R658">
            <v>657</v>
          </cell>
          <cell r="S658" t="str">
            <v>EQUIPE ELE</v>
          </cell>
          <cell r="T658">
            <v>38979</v>
          </cell>
        </row>
        <row r="659">
          <cell r="B659" t="str">
            <v>DE.510.DF.02</v>
          </cell>
          <cell r="D659" t="str">
            <v>Cubículos De MT - 15kV</v>
          </cell>
          <cell r="E659" t="str">
            <v>10 dias</v>
          </cell>
          <cell r="F659">
            <v>38922.375</v>
          </cell>
          <cell r="G659">
            <v>38980.333333333336</v>
          </cell>
          <cell r="H659" t="str">
            <v>NA</v>
          </cell>
          <cell r="I659">
            <v>38936.375</v>
          </cell>
          <cell r="J659">
            <v>38993.729166666664</v>
          </cell>
          <cell r="K659" t="str">
            <v>NA</v>
          </cell>
          <cell r="L659">
            <v>0.27</v>
          </cell>
          <cell r="M659">
            <v>6.25</v>
          </cell>
          <cell r="N659">
            <v>0</v>
          </cell>
          <cell r="O659">
            <v>0</v>
          </cell>
          <cell r="P659">
            <v>0</v>
          </cell>
          <cell r="Q659">
            <v>656</v>
          </cell>
          <cell r="R659">
            <v>658</v>
          </cell>
          <cell r="S659" t="str">
            <v>EQUIPE ELE</v>
          </cell>
          <cell r="T659">
            <v>38993</v>
          </cell>
        </row>
        <row r="660">
          <cell r="B660" t="str">
            <v>DE.510.DF.03</v>
          </cell>
          <cell r="D660" t="str">
            <v>Subestação Principal</v>
          </cell>
          <cell r="E660" t="str">
            <v>4 dias</v>
          </cell>
          <cell r="F660">
            <v>38936.375</v>
          </cell>
          <cell r="G660">
            <v>38994.333333333336</v>
          </cell>
          <cell r="H660" t="str">
            <v>NA</v>
          </cell>
          <cell r="I660">
            <v>38940.375</v>
          </cell>
          <cell r="J660">
            <v>38999.729166666664</v>
          </cell>
          <cell r="K660" t="str">
            <v>NA</v>
          </cell>
          <cell r="L660">
            <v>7.0000000000000007E-2</v>
          </cell>
          <cell r="M660">
            <v>1.5</v>
          </cell>
          <cell r="N660">
            <v>0</v>
          </cell>
          <cell r="O660">
            <v>0</v>
          </cell>
          <cell r="P660">
            <v>0</v>
          </cell>
          <cell r="Q660">
            <v>657</v>
          </cell>
          <cell r="S660" t="str">
            <v>EQUIPE ELE</v>
          </cell>
          <cell r="T660">
            <v>38999</v>
          </cell>
        </row>
        <row r="661">
          <cell r="D661" t="str">
            <v>Diagrama De Interligação</v>
          </cell>
          <cell r="E661" t="str">
            <v>7 dias</v>
          </cell>
          <cell r="F661">
            <v>38940.375</v>
          </cell>
          <cell r="G661">
            <v>39000.333333333336</v>
          </cell>
          <cell r="H661" t="str">
            <v>NA</v>
          </cell>
          <cell r="I661">
            <v>38953.375</v>
          </cell>
          <cell r="J661">
            <v>39010.729166666664</v>
          </cell>
          <cell r="K661" t="str">
            <v>NA</v>
          </cell>
          <cell r="L661">
            <v>0.23</v>
          </cell>
          <cell r="M661">
            <v>5.25</v>
          </cell>
          <cell r="N661">
            <v>0</v>
          </cell>
          <cell r="O661">
            <v>0</v>
          </cell>
          <cell r="P661">
            <v>0</v>
          </cell>
          <cell r="R661">
            <v>663</v>
          </cell>
          <cell r="T661">
            <v>39010</v>
          </cell>
        </row>
        <row r="662">
          <cell r="B662" t="str">
            <v>DE.510.DI.01</v>
          </cell>
          <cell r="D662" t="str">
            <v>Subestação De 69kV</v>
          </cell>
          <cell r="E662" t="str">
            <v>4 dias</v>
          </cell>
          <cell r="F662">
            <v>38940.375</v>
          </cell>
          <cell r="G662">
            <v>39000.333333333336</v>
          </cell>
          <cell r="H662" t="str">
            <v>NA</v>
          </cell>
          <cell r="I662">
            <v>38950.375</v>
          </cell>
          <cell r="J662">
            <v>39007.729166666664</v>
          </cell>
          <cell r="K662" t="str">
            <v>NA</v>
          </cell>
          <cell r="L662">
            <v>0.15</v>
          </cell>
          <cell r="M662">
            <v>3.5</v>
          </cell>
          <cell r="N662">
            <v>0</v>
          </cell>
          <cell r="O662">
            <v>0</v>
          </cell>
          <cell r="P662">
            <v>0</v>
          </cell>
          <cell r="Q662">
            <v>655</v>
          </cell>
          <cell r="R662">
            <v>661</v>
          </cell>
          <cell r="S662" t="str">
            <v>EQUIPE ELE</v>
          </cell>
          <cell r="T662">
            <v>39007</v>
          </cell>
        </row>
        <row r="663">
          <cell r="B663" t="str">
            <v>DE.510.DI.02</v>
          </cell>
          <cell r="D663" t="str">
            <v>Subestação Principal</v>
          </cell>
          <cell r="E663" t="str">
            <v>3 dias</v>
          </cell>
          <cell r="F663">
            <v>38950.375</v>
          </cell>
          <cell r="G663">
            <v>39008.333333333336</v>
          </cell>
          <cell r="H663" t="str">
            <v>NA</v>
          </cell>
          <cell r="I663">
            <v>38953.375</v>
          </cell>
          <cell r="J663">
            <v>39010.729166666664</v>
          </cell>
          <cell r="K663" t="str">
            <v>NA</v>
          </cell>
          <cell r="L663">
            <v>0.08</v>
          </cell>
          <cell r="M663">
            <v>1.75</v>
          </cell>
          <cell r="N663">
            <v>0</v>
          </cell>
          <cell r="O663">
            <v>0</v>
          </cell>
          <cell r="P663">
            <v>0</v>
          </cell>
          <cell r="Q663">
            <v>660</v>
          </cell>
          <cell r="S663" t="str">
            <v>EQUIPE ELE</v>
          </cell>
          <cell r="T663">
            <v>39010</v>
          </cell>
        </row>
        <row r="664">
          <cell r="D664" t="str">
            <v>Diagrama Trifilar</v>
          </cell>
          <cell r="E664" t="str">
            <v>6 dias</v>
          </cell>
          <cell r="F664">
            <v>38953.375</v>
          </cell>
          <cell r="G664">
            <v>39013.333333333336</v>
          </cell>
          <cell r="H664" t="str">
            <v>NA</v>
          </cell>
          <cell r="I664">
            <v>38961.375</v>
          </cell>
          <cell r="J664">
            <v>39020.729166666664</v>
          </cell>
          <cell r="K664" t="str">
            <v>NA</v>
          </cell>
          <cell r="L664">
            <v>0.04</v>
          </cell>
          <cell r="M664">
            <v>1</v>
          </cell>
          <cell r="N664">
            <v>0</v>
          </cell>
          <cell r="O664">
            <v>0</v>
          </cell>
          <cell r="P664">
            <v>0</v>
          </cell>
          <cell r="R664">
            <v>665</v>
          </cell>
          <cell r="T664">
            <v>39020</v>
          </cell>
        </row>
        <row r="665">
          <cell r="B665" t="str">
            <v>DE.510.DT.01</v>
          </cell>
          <cell r="D665" t="str">
            <v>Subestação De 69kV</v>
          </cell>
          <cell r="E665" t="str">
            <v>3 dias</v>
          </cell>
          <cell r="F665">
            <v>38953.375</v>
          </cell>
          <cell r="G665">
            <v>39013.333333333336</v>
          </cell>
          <cell r="H665" t="str">
            <v>NA</v>
          </cell>
          <cell r="I665">
            <v>38958.375</v>
          </cell>
          <cell r="J665">
            <v>39015.729166666664</v>
          </cell>
          <cell r="K665" t="str">
            <v>NA</v>
          </cell>
          <cell r="L665">
            <v>0.02</v>
          </cell>
          <cell r="M665">
            <v>0.5</v>
          </cell>
          <cell r="N665">
            <v>0</v>
          </cell>
          <cell r="O665">
            <v>0</v>
          </cell>
          <cell r="P665">
            <v>0</v>
          </cell>
          <cell r="Q665">
            <v>659</v>
          </cell>
          <cell r="R665">
            <v>664</v>
          </cell>
          <cell r="S665" t="str">
            <v>EQUIPE ELE</v>
          </cell>
          <cell r="T665">
            <v>39015</v>
          </cell>
        </row>
        <row r="666">
          <cell r="B666" t="str">
            <v>DE.510.DT.02</v>
          </cell>
          <cell r="D666" t="str">
            <v>Subestação Principal</v>
          </cell>
          <cell r="E666" t="str">
            <v>3 dias</v>
          </cell>
          <cell r="F666">
            <v>38958.375</v>
          </cell>
          <cell r="G666">
            <v>39016.333333333336</v>
          </cell>
          <cell r="H666" t="str">
            <v>NA</v>
          </cell>
          <cell r="I666">
            <v>38961.375</v>
          </cell>
          <cell r="J666">
            <v>39020.729166666664</v>
          </cell>
          <cell r="K666" t="str">
            <v>NA</v>
          </cell>
          <cell r="L666">
            <v>0.02</v>
          </cell>
          <cell r="M666">
            <v>0.5</v>
          </cell>
          <cell r="N666">
            <v>0</v>
          </cell>
          <cell r="O666">
            <v>0</v>
          </cell>
          <cell r="P666">
            <v>0</v>
          </cell>
          <cell r="Q666">
            <v>663</v>
          </cell>
          <cell r="S666" t="str">
            <v>EQUIPE ELE</v>
          </cell>
          <cell r="T666">
            <v>39020</v>
          </cell>
        </row>
        <row r="667">
          <cell r="B667" t="str">
            <v>DE.510.ET.01</v>
          </cell>
          <cell r="D667" t="str">
            <v>Especificação Técnica - Painéis De Iluminação</v>
          </cell>
          <cell r="E667" t="str">
            <v>3 dias</v>
          </cell>
          <cell r="F667">
            <v>38961.375</v>
          </cell>
          <cell r="G667">
            <v>39021.333333333336</v>
          </cell>
          <cell r="H667" t="str">
            <v>NA</v>
          </cell>
          <cell r="I667">
            <v>38966.375</v>
          </cell>
          <cell r="J667">
            <v>39027.729166666664</v>
          </cell>
          <cell r="K667" t="str">
            <v>NA</v>
          </cell>
          <cell r="L667">
            <v>0.06</v>
          </cell>
          <cell r="M667">
            <v>1.38</v>
          </cell>
          <cell r="N667">
            <v>0</v>
          </cell>
          <cell r="O667">
            <v>0</v>
          </cell>
          <cell r="P667">
            <v>0</v>
          </cell>
          <cell r="Q667">
            <v>662</v>
          </cell>
          <cell r="R667">
            <v>666</v>
          </cell>
          <cell r="S667" t="str">
            <v>EQUIPE ELE</v>
          </cell>
          <cell r="T667">
            <v>39027</v>
          </cell>
        </row>
        <row r="668">
          <cell r="B668" t="str">
            <v>DE.510.ED.01</v>
          </cell>
          <cell r="D668" t="str">
            <v>Estudos / Planos - Malha De Aterramento</v>
          </cell>
          <cell r="E668" t="str">
            <v>5 dias</v>
          </cell>
          <cell r="F668">
            <v>38966.375</v>
          </cell>
          <cell r="G668">
            <v>39028.333333333336</v>
          </cell>
          <cell r="H668" t="str">
            <v>NA</v>
          </cell>
          <cell r="I668">
            <v>38975.375</v>
          </cell>
          <cell r="J668">
            <v>39034.729166666664</v>
          </cell>
          <cell r="K668" t="str">
            <v>NA</v>
          </cell>
          <cell r="L668">
            <v>0.11</v>
          </cell>
          <cell r="M668">
            <v>2.63</v>
          </cell>
          <cell r="N668">
            <v>0</v>
          </cell>
          <cell r="O668">
            <v>0</v>
          </cell>
          <cell r="P668">
            <v>0</v>
          </cell>
          <cell r="Q668">
            <v>665</v>
          </cell>
          <cell r="R668" t="str">
            <v>667;668</v>
          </cell>
          <cell r="S668" t="str">
            <v>EQUIPE ELE</v>
          </cell>
          <cell r="T668">
            <v>39034</v>
          </cell>
        </row>
        <row r="669">
          <cell r="B669" t="str">
            <v>DE.510.LC.01</v>
          </cell>
          <cell r="D669" t="str">
            <v>Lista De Linhas/ Cabos</v>
          </cell>
          <cell r="E669" t="str">
            <v>3 dias</v>
          </cell>
          <cell r="F669">
            <v>38975.375</v>
          </cell>
          <cell r="G669">
            <v>39035.333333333336</v>
          </cell>
          <cell r="H669" t="str">
            <v>NA</v>
          </cell>
          <cell r="I669">
            <v>38980.375</v>
          </cell>
          <cell r="J669">
            <v>39038.729166666664</v>
          </cell>
          <cell r="K669" t="str">
            <v>NA</v>
          </cell>
          <cell r="L669">
            <v>0.04</v>
          </cell>
          <cell r="M669">
            <v>1</v>
          </cell>
          <cell r="N669">
            <v>0</v>
          </cell>
          <cell r="O669">
            <v>0</v>
          </cell>
          <cell r="P669">
            <v>0</v>
          </cell>
          <cell r="Q669">
            <v>666</v>
          </cell>
          <cell r="R669">
            <v>670</v>
          </cell>
          <cell r="S669" t="str">
            <v>EQUIPE ELE</v>
          </cell>
          <cell r="T669">
            <v>39038</v>
          </cell>
        </row>
        <row r="670">
          <cell r="B670" t="str">
            <v>DE.510.LM.01</v>
          </cell>
          <cell r="D670" t="str">
            <v>Lista De Materiais</v>
          </cell>
          <cell r="E670" t="str">
            <v>5 dias</v>
          </cell>
          <cell r="F670">
            <v>38975.375</v>
          </cell>
          <cell r="G670">
            <v>39035.333333333336</v>
          </cell>
          <cell r="H670" t="str">
            <v>NA</v>
          </cell>
          <cell r="I670">
            <v>38988.375</v>
          </cell>
          <cell r="J670">
            <v>39042.729166666664</v>
          </cell>
          <cell r="K670" t="str">
            <v>NA</v>
          </cell>
          <cell r="L670">
            <v>0.06</v>
          </cell>
          <cell r="M670">
            <v>1.38</v>
          </cell>
          <cell r="N670">
            <v>0</v>
          </cell>
          <cell r="O670">
            <v>0</v>
          </cell>
          <cell r="P670">
            <v>0</v>
          </cell>
          <cell r="Q670">
            <v>666</v>
          </cell>
          <cell r="S670" t="str">
            <v>EQUIPE ELE</v>
          </cell>
          <cell r="T670">
            <v>39042</v>
          </cell>
        </row>
        <row r="671">
          <cell r="B671" t="str">
            <v>DE.510.MD.01</v>
          </cell>
          <cell r="D671" t="str">
            <v>Memorial Descritivo - Fornecimento De Energia</v>
          </cell>
          <cell r="E671" t="str">
            <v>15 dias</v>
          </cell>
          <cell r="F671">
            <v>38975.375</v>
          </cell>
          <cell r="G671">
            <v>38922.333333333336</v>
          </cell>
          <cell r="H671">
            <v>38922.333333333336</v>
          </cell>
          <cell r="I671">
            <v>38986.375</v>
          </cell>
          <cell r="J671">
            <v>38940.729166666664</v>
          </cell>
          <cell r="K671" t="str">
            <v>NA</v>
          </cell>
          <cell r="L671">
            <v>0.06</v>
          </cell>
          <cell r="M671">
            <v>1.38</v>
          </cell>
          <cell r="N671">
            <v>0.96</v>
          </cell>
          <cell r="O671">
            <v>0</v>
          </cell>
          <cell r="P671">
            <v>70</v>
          </cell>
          <cell r="Q671" t="str">
            <v>584II</v>
          </cell>
          <cell r="S671" t="str">
            <v>EQUIPE ELE</v>
          </cell>
          <cell r="T671">
            <v>38940</v>
          </cell>
        </row>
        <row r="672">
          <cell r="B672" t="str">
            <v>DE.510.MC.01</v>
          </cell>
          <cell r="D672" t="str">
            <v>Memória De Cálculo - Esticamento Do Cabo</v>
          </cell>
          <cell r="E672" t="str">
            <v>3 dias</v>
          </cell>
          <cell r="F672">
            <v>38980.375</v>
          </cell>
          <cell r="G672">
            <v>39041.333333333336</v>
          </cell>
          <cell r="H672" t="str">
            <v>NA</v>
          </cell>
          <cell r="I672">
            <v>38985.375</v>
          </cell>
          <cell r="J672">
            <v>39043.729166666664</v>
          </cell>
          <cell r="K672" t="str">
            <v>NA</v>
          </cell>
          <cell r="L672">
            <v>0.13</v>
          </cell>
          <cell r="M672">
            <v>2.88</v>
          </cell>
          <cell r="N672">
            <v>0</v>
          </cell>
          <cell r="O672">
            <v>0</v>
          </cell>
          <cell r="P672">
            <v>0</v>
          </cell>
          <cell r="Q672">
            <v>667</v>
          </cell>
          <cell r="S672" t="str">
            <v>EQUIPE ELE</v>
          </cell>
          <cell r="T672">
            <v>39043</v>
          </cell>
        </row>
        <row r="673">
          <cell r="B673" t="str">
            <v>1.4.3</v>
          </cell>
          <cell r="C673" t="str">
            <v>520A</v>
          </cell>
          <cell r="D673" t="str">
            <v>ETA, Armazenamento e Distribuição</v>
          </cell>
          <cell r="E673" t="str">
            <v>21 dias</v>
          </cell>
          <cell r="F673">
            <v>38835.375</v>
          </cell>
          <cell r="G673">
            <v>39037.333333333336</v>
          </cell>
          <cell r="H673" t="str">
            <v>NA</v>
          </cell>
          <cell r="I673">
            <v>38938.375</v>
          </cell>
          <cell r="J673">
            <v>39065.729166666664</v>
          </cell>
          <cell r="K673" t="str">
            <v>NA</v>
          </cell>
          <cell r="L673">
            <v>0.77</v>
          </cell>
          <cell r="M673">
            <v>17.63</v>
          </cell>
          <cell r="N673">
            <v>0</v>
          </cell>
          <cell r="O673">
            <v>0</v>
          </cell>
          <cell r="P673">
            <v>0</v>
          </cell>
          <cell r="T673">
            <v>39065</v>
          </cell>
        </row>
        <row r="674">
          <cell r="D674" t="str">
            <v>Projeto Detalhado</v>
          </cell>
          <cell r="E674" t="str">
            <v>21 dias</v>
          </cell>
          <cell r="F674">
            <v>38897.375</v>
          </cell>
          <cell r="G674">
            <v>39037.333333333336</v>
          </cell>
          <cell r="H674" t="str">
            <v>NA</v>
          </cell>
          <cell r="I674">
            <v>38938.375</v>
          </cell>
          <cell r="J674">
            <v>39065.729166666664</v>
          </cell>
          <cell r="K674" t="str">
            <v>NA</v>
          </cell>
          <cell r="L674">
            <v>0.77</v>
          </cell>
          <cell r="M674">
            <v>17.63</v>
          </cell>
          <cell r="N674">
            <v>0</v>
          </cell>
          <cell r="O674">
            <v>0</v>
          </cell>
          <cell r="P674">
            <v>0</v>
          </cell>
          <cell r="T674">
            <v>39065</v>
          </cell>
        </row>
        <row r="675">
          <cell r="D675" t="str">
            <v>Tubulação</v>
          </cell>
          <cell r="E675" t="str">
            <v>3 dias</v>
          </cell>
          <cell r="F675">
            <v>38897.375</v>
          </cell>
          <cell r="G675">
            <v>39050.333333333336</v>
          </cell>
          <cell r="H675" t="str">
            <v>NA</v>
          </cell>
          <cell r="I675">
            <v>38902.375</v>
          </cell>
          <cell r="J675">
            <v>39052.729166666664</v>
          </cell>
          <cell r="K675" t="str">
            <v>NA</v>
          </cell>
          <cell r="L675">
            <v>0.13</v>
          </cell>
          <cell r="M675">
            <v>3</v>
          </cell>
          <cell r="N675">
            <v>0</v>
          </cell>
          <cell r="O675">
            <v>0</v>
          </cell>
          <cell r="P675">
            <v>0</v>
          </cell>
          <cell r="T675">
            <v>39052</v>
          </cell>
        </row>
        <row r="676">
          <cell r="B676" t="str">
            <v>DH.520.RT.01</v>
          </cell>
          <cell r="D676" t="str">
            <v>Relatório Técnico - Bolsa Flutuante</v>
          </cell>
          <cell r="E676" t="str">
            <v>3 dias</v>
          </cell>
          <cell r="F676">
            <v>38897.375</v>
          </cell>
          <cell r="G676">
            <v>39050.333333333336</v>
          </cell>
          <cell r="H676" t="str">
            <v>NA</v>
          </cell>
          <cell r="I676">
            <v>38902.375</v>
          </cell>
          <cell r="J676">
            <v>39052.729166666664</v>
          </cell>
          <cell r="K676" t="str">
            <v>NA</v>
          </cell>
          <cell r="L676">
            <v>0.13</v>
          </cell>
          <cell r="M676">
            <v>3</v>
          </cell>
          <cell r="N676">
            <v>0</v>
          </cell>
          <cell r="O676">
            <v>0</v>
          </cell>
          <cell r="P676">
            <v>0</v>
          </cell>
          <cell r="Q676" t="str">
            <v>39II+131 dias</v>
          </cell>
          <cell r="R676" t="str">
            <v>695II;737II</v>
          </cell>
          <cell r="S676" t="str">
            <v>EQUIPE TUB</v>
          </cell>
          <cell r="T676">
            <v>39052</v>
          </cell>
        </row>
        <row r="677">
          <cell r="D677" t="str">
            <v>Civil</v>
          </cell>
          <cell r="E677" t="str">
            <v>12 dias</v>
          </cell>
          <cell r="F677">
            <v>38897.375</v>
          </cell>
          <cell r="G677">
            <v>39037.333333333336</v>
          </cell>
          <cell r="H677" t="str">
            <v>NA</v>
          </cell>
          <cell r="I677">
            <v>38915.375</v>
          </cell>
          <cell r="J677">
            <v>39052.729166666664</v>
          </cell>
          <cell r="K677" t="str">
            <v>NA</v>
          </cell>
          <cell r="L677">
            <v>0.35</v>
          </cell>
          <cell r="M677">
            <v>8</v>
          </cell>
          <cell r="N677">
            <v>0</v>
          </cell>
          <cell r="O677">
            <v>0</v>
          </cell>
          <cell r="P677">
            <v>0</v>
          </cell>
          <cell r="T677">
            <v>39052</v>
          </cell>
        </row>
        <row r="678">
          <cell r="B678" t="str">
            <v>DC.520.DD.01</v>
          </cell>
          <cell r="D678" t="str">
            <v>Desenho De Detalhamento - Fundação, Forma e Armação</v>
          </cell>
          <cell r="E678" t="str">
            <v>12 dias</v>
          </cell>
          <cell r="F678">
            <v>38897.375</v>
          </cell>
          <cell r="G678">
            <v>39037.333333333336</v>
          </cell>
          <cell r="H678" t="str">
            <v>NA</v>
          </cell>
          <cell r="I678">
            <v>38915.375</v>
          </cell>
          <cell r="J678">
            <v>39052.729166666664</v>
          </cell>
          <cell r="K678" t="str">
            <v>NA</v>
          </cell>
          <cell r="L678">
            <v>0.35</v>
          </cell>
          <cell r="M678">
            <v>8</v>
          </cell>
          <cell r="N678">
            <v>0</v>
          </cell>
          <cell r="O678">
            <v>0</v>
          </cell>
          <cell r="P678">
            <v>0</v>
          </cell>
          <cell r="Q678">
            <v>642</v>
          </cell>
          <cell r="R678" t="str">
            <v>679;680</v>
          </cell>
          <cell r="S678" t="str">
            <v>EQUIPE CIV</v>
          </cell>
          <cell r="T678">
            <v>39052</v>
          </cell>
        </row>
        <row r="679">
          <cell r="D679" t="str">
            <v>Elétrica</v>
          </cell>
          <cell r="E679" t="str">
            <v>9 dias</v>
          </cell>
          <cell r="F679">
            <v>38915.375</v>
          </cell>
          <cell r="G679">
            <v>39055.333333333336</v>
          </cell>
          <cell r="H679" t="str">
            <v>NA</v>
          </cell>
          <cell r="I679">
            <v>38930.375</v>
          </cell>
          <cell r="J679">
            <v>39065.729166666664</v>
          </cell>
          <cell r="K679" t="str">
            <v>NA</v>
          </cell>
          <cell r="L679">
            <v>0.2</v>
          </cell>
          <cell r="M679">
            <v>4.63</v>
          </cell>
          <cell r="N679">
            <v>0</v>
          </cell>
          <cell r="O679">
            <v>0</v>
          </cell>
          <cell r="P679">
            <v>0</v>
          </cell>
          <cell r="T679">
            <v>39065</v>
          </cell>
        </row>
        <row r="680">
          <cell r="D680" t="str">
            <v>Desenho De Detalhamento</v>
          </cell>
          <cell r="E680" t="str">
            <v>6 dias</v>
          </cell>
          <cell r="F680">
            <v>38915.375</v>
          </cell>
          <cell r="G680">
            <v>39055.333333333336</v>
          </cell>
          <cell r="H680" t="str">
            <v>NA</v>
          </cell>
          <cell r="I680">
            <v>38923.375</v>
          </cell>
          <cell r="J680">
            <v>39062.729166666664</v>
          </cell>
          <cell r="K680" t="str">
            <v>NA</v>
          </cell>
          <cell r="L680">
            <v>0.13</v>
          </cell>
          <cell r="M680">
            <v>3</v>
          </cell>
          <cell r="N680">
            <v>0</v>
          </cell>
          <cell r="O680">
            <v>0</v>
          </cell>
          <cell r="P680">
            <v>0</v>
          </cell>
          <cell r="R680" t="str">
            <v>681II;682;684II</v>
          </cell>
          <cell r="T680">
            <v>39062</v>
          </cell>
        </row>
        <row r="681">
          <cell r="B681" t="str">
            <v>DE.520.DD.01</v>
          </cell>
          <cell r="D681" t="str">
            <v>Distribuição De Força e Aterramento</v>
          </cell>
          <cell r="E681" t="str">
            <v>4 dias</v>
          </cell>
          <cell r="F681">
            <v>38915.375</v>
          </cell>
          <cell r="G681">
            <v>39055.333333333336</v>
          </cell>
          <cell r="H681" t="str">
            <v>NA</v>
          </cell>
          <cell r="I681">
            <v>38919.375</v>
          </cell>
          <cell r="J681">
            <v>39058.729166666664</v>
          </cell>
          <cell r="K681" t="str">
            <v>NA</v>
          </cell>
          <cell r="L681">
            <v>0.04</v>
          </cell>
          <cell r="M681">
            <v>1</v>
          </cell>
          <cell r="N681">
            <v>0</v>
          </cell>
          <cell r="O681">
            <v>0</v>
          </cell>
          <cell r="P681">
            <v>0</v>
          </cell>
          <cell r="Q681">
            <v>676</v>
          </cell>
          <cell r="R681" t="str">
            <v>698II</v>
          </cell>
          <cell r="S681" t="str">
            <v>EQUIPE ELE</v>
          </cell>
          <cell r="T681">
            <v>39058</v>
          </cell>
        </row>
        <row r="682">
          <cell r="B682" t="str">
            <v>DE.520.DD.02</v>
          </cell>
          <cell r="D682" t="str">
            <v>Iluminação</v>
          </cell>
          <cell r="E682" t="str">
            <v>6 dias</v>
          </cell>
          <cell r="F682">
            <v>38915.375</v>
          </cell>
          <cell r="G682">
            <v>39055.333333333336</v>
          </cell>
          <cell r="H682" t="str">
            <v>NA</v>
          </cell>
          <cell r="I682">
            <v>38923.375</v>
          </cell>
          <cell r="J682">
            <v>39062.729166666664</v>
          </cell>
          <cell r="K682" t="str">
            <v>NA</v>
          </cell>
          <cell r="L682">
            <v>0.09</v>
          </cell>
          <cell r="M682">
            <v>2</v>
          </cell>
          <cell r="N682">
            <v>0</v>
          </cell>
          <cell r="O682">
            <v>0</v>
          </cell>
          <cell r="P682">
            <v>0</v>
          </cell>
          <cell r="Q682">
            <v>676</v>
          </cell>
          <cell r="S682" t="str">
            <v>EQUIPE ELE</v>
          </cell>
          <cell r="T682">
            <v>39062</v>
          </cell>
        </row>
        <row r="683">
          <cell r="B683" t="str">
            <v>DE.520.AJ.01</v>
          </cell>
          <cell r="D683" t="str">
            <v>Arranjos/ Layout’s/ Plano Diretor - Arranjo Dos Equipamentos</v>
          </cell>
          <cell r="E683" t="str">
            <v>5 dias</v>
          </cell>
          <cell r="F683">
            <v>38923.375</v>
          </cell>
          <cell r="G683">
            <v>39055.333333333336</v>
          </cell>
          <cell r="H683" t="str">
            <v>NA</v>
          </cell>
          <cell r="I683">
            <v>38930.375</v>
          </cell>
          <cell r="J683">
            <v>39059.729166666664</v>
          </cell>
          <cell r="K683" t="str">
            <v>NA</v>
          </cell>
          <cell r="L683">
            <v>0.04</v>
          </cell>
          <cell r="M683">
            <v>1</v>
          </cell>
          <cell r="N683">
            <v>0</v>
          </cell>
          <cell r="O683">
            <v>0</v>
          </cell>
          <cell r="P683">
            <v>0</v>
          </cell>
          <cell r="Q683" t="str">
            <v>678II</v>
          </cell>
          <cell r="S683" t="str">
            <v>EQUIPE ELE</v>
          </cell>
          <cell r="T683">
            <v>39059</v>
          </cell>
        </row>
        <row r="684">
          <cell r="B684" t="str">
            <v>DE.520.LC.01</v>
          </cell>
          <cell r="D684" t="str">
            <v>Lista De Linhas/ Cabos</v>
          </cell>
          <cell r="E684" t="str">
            <v>3 dias</v>
          </cell>
          <cell r="F684">
            <v>38923.375</v>
          </cell>
          <cell r="G684">
            <v>39063.333333333336</v>
          </cell>
          <cell r="H684" t="str">
            <v>NA</v>
          </cell>
          <cell r="I684">
            <v>38926.375</v>
          </cell>
          <cell r="J684">
            <v>39065.729166666664</v>
          </cell>
          <cell r="K684" t="str">
            <v>NA</v>
          </cell>
          <cell r="L684">
            <v>0.03</v>
          </cell>
          <cell r="M684">
            <v>0.63</v>
          </cell>
          <cell r="N684">
            <v>0</v>
          </cell>
          <cell r="O684">
            <v>0</v>
          </cell>
          <cell r="P684">
            <v>0</v>
          </cell>
          <cell r="Q684">
            <v>678</v>
          </cell>
          <cell r="S684" t="str">
            <v>EQUIPE ELE</v>
          </cell>
          <cell r="T684">
            <v>39065</v>
          </cell>
        </row>
        <row r="685">
          <cell r="D685" t="str">
            <v>Instrumentação</v>
          </cell>
          <cell r="E685" t="str">
            <v>8 dias</v>
          </cell>
          <cell r="F685">
            <v>38923.375</v>
          </cell>
          <cell r="G685">
            <v>39055.333333333336</v>
          </cell>
          <cell r="H685" t="str">
            <v>NA</v>
          </cell>
          <cell r="I685">
            <v>38938.375</v>
          </cell>
          <cell r="J685">
            <v>39064.729166666664</v>
          </cell>
          <cell r="K685" t="str">
            <v>NA</v>
          </cell>
          <cell r="L685">
            <v>0.09</v>
          </cell>
          <cell r="M685">
            <v>2</v>
          </cell>
          <cell r="N685">
            <v>0</v>
          </cell>
          <cell r="O685">
            <v>0</v>
          </cell>
          <cell r="P685">
            <v>0</v>
          </cell>
          <cell r="T685">
            <v>39064</v>
          </cell>
        </row>
        <row r="686">
          <cell r="B686" t="str">
            <v>DT.520.AJ.01</v>
          </cell>
          <cell r="D686" t="str">
            <v>Arranjos/ Layout’s/ Plano Diretor - Locação De Instrumentos</v>
          </cell>
          <cell r="E686" t="str">
            <v>8 dias</v>
          </cell>
          <cell r="F686">
            <v>38923.375</v>
          </cell>
          <cell r="G686">
            <v>39055.333333333336</v>
          </cell>
          <cell r="H686" t="str">
            <v>NA</v>
          </cell>
          <cell r="I686">
            <v>38933.375</v>
          </cell>
          <cell r="J686">
            <v>39064.729166666664</v>
          </cell>
          <cell r="K686" t="str">
            <v>NA</v>
          </cell>
          <cell r="L686">
            <v>0.09</v>
          </cell>
          <cell r="M686">
            <v>2</v>
          </cell>
          <cell r="N686">
            <v>0</v>
          </cell>
          <cell r="O686">
            <v>0</v>
          </cell>
          <cell r="P686">
            <v>0</v>
          </cell>
          <cell r="Q686" t="str">
            <v>678II</v>
          </cell>
          <cell r="R686" t="str">
            <v>702II;725II;726II;733II</v>
          </cell>
          <cell r="S686" t="str">
            <v>EQUIPE TSA</v>
          </cell>
          <cell r="T686">
            <v>39064</v>
          </cell>
        </row>
        <row r="687">
          <cell r="B687" t="str">
            <v>1.4.4</v>
          </cell>
          <cell r="C687" t="str">
            <v>530A</v>
          </cell>
          <cell r="D687" t="str">
            <v>Drenagem e Esgoto</v>
          </cell>
          <cell r="E687" t="str">
            <v>37 dias</v>
          </cell>
          <cell r="F687">
            <v>38845.375</v>
          </cell>
          <cell r="G687">
            <v>38912.333333333336</v>
          </cell>
          <cell r="H687">
            <v>38912.333333333336</v>
          </cell>
          <cell r="I687">
            <v>38945.375</v>
          </cell>
          <cell r="J687">
            <v>38966.729166666664</v>
          </cell>
          <cell r="K687" t="str">
            <v>NA</v>
          </cell>
          <cell r="L687">
            <v>1.7</v>
          </cell>
          <cell r="M687">
            <v>39</v>
          </cell>
          <cell r="N687">
            <v>6.1</v>
          </cell>
          <cell r="O687">
            <v>15.64</v>
          </cell>
          <cell r="P687">
            <v>15.64</v>
          </cell>
          <cell r="T687">
            <v>38966</v>
          </cell>
        </row>
        <row r="688">
          <cell r="D688" t="str">
            <v>Projeto Detalhado</v>
          </cell>
          <cell r="E688" t="str">
            <v>37 dias</v>
          </cell>
          <cell r="F688">
            <v>38870.333333333336</v>
          </cell>
          <cell r="G688">
            <v>38912.333333333336</v>
          </cell>
          <cell r="H688">
            <v>38912.333333333336</v>
          </cell>
          <cell r="I688">
            <v>38945.729166666664</v>
          </cell>
          <cell r="J688">
            <v>38966.729166666664</v>
          </cell>
          <cell r="K688" t="str">
            <v>NA</v>
          </cell>
          <cell r="L688">
            <v>1.7</v>
          </cell>
          <cell r="M688">
            <v>39</v>
          </cell>
          <cell r="N688">
            <v>6.1</v>
          </cell>
          <cell r="O688">
            <v>15.64</v>
          </cell>
          <cell r="P688">
            <v>15.64</v>
          </cell>
          <cell r="T688">
            <v>38966</v>
          </cell>
        </row>
        <row r="689">
          <cell r="D689" t="str">
            <v>Civil</v>
          </cell>
          <cell r="E689" t="str">
            <v>37 dias</v>
          </cell>
          <cell r="F689">
            <v>38870.333333333336</v>
          </cell>
          <cell r="G689">
            <v>38912.333333333336</v>
          </cell>
          <cell r="H689">
            <v>38912.333333333336</v>
          </cell>
          <cell r="I689">
            <v>38945.729166666664</v>
          </cell>
          <cell r="J689">
            <v>38966.729166666664</v>
          </cell>
          <cell r="K689" t="str">
            <v>NA</v>
          </cell>
          <cell r="L689">
            <v>1.7</v>
          </cell>
          <cell r="M689">
            <v>39</v>
          </cell>
          <cell r="N689">
            <v>6.1</v>
          </cell>
          <cell r="O689">
            <v>0</v>
          </cell>
          <cell r="P689">
            <v>15.64</v>
          </cell>
          <cell r="T689">
            <v>38966</v>
          </cell>
        </row>
        <row r="690">
          <cell r="D690" t="str">
            <v>Desenho De Detalhamento</v>
          </cell>
          <cell r="E690" t="str">
            <v>37 dias</v>
          </cell>
          <cell r="F690">
            <v>38870.333333333336</v>
          </cell>
          <cell r="G690">
            <v>38912.333333333336</v>
          </cell>
          <cell r="H690">
            <v>38912.333333333336</v>
          </cell>
          <cell r="I690">
            <v>38945.729166666664</v>
          </cell>
          <cell r="J690">
            <v>38966.729166666664</v>
          </cell>
          <cell r="K690" t="str">
            <v>NA</v>
          </cell>
          <cell r="L690">
            <v>1.7</v>
          </cell>
          <cell r="M690">
            <v>39</v>
          </cell>
          <cell r="N690">
            <v>6.1</v>
          </cell>
          <cell r="O690">
            <v>0</v>
          </cell>
          <cell r="P690">
            <v>15.64</v>
          </cell>
          <cell r="T690">
            <v>38966</v>
          </cell>
        </row>
        <row r="691">
          <cell r="B691" t="str">
            <v>DC.530.DD.01</v>
          </cell>
          <cell r="D691" t="str">
            <v>Canaletas, Caixa De Passagem, Decida De Água e Poço De Inspeção</v>
          </cell>
          <cell r="E691" t="str">
            <v>7 dias</v>
          </cell>
          <cell r="F691">
            <v>38870.333333333336</v>
          </cell>
          <cell r="G691">
            <v>38958.333333333336</v>
          </cell>
          <cell r="H691" t="str">
            <v>NA</v>
          </cell>
          <cell r="I691">
            <v>38881.729166666664</v>
          </cell>
          <cell r="J691">
            <v>38966.729166666664</v>
          </cell>
          <cell r="K691" t="str">
            <v>NA</v>
          </cell>
          <cell r="L691">
            <v>0.17</v>
          </cell>
          <cell r="M691">
            <v>4</v>
          </cell>
          <cell r="N691">
            <v>0</v>
          </cell>
          <cell r="O691">
            <v>0</v>
          </cell>
          <cell r="P691">
            <v>0</v>
          </cell>
          <cell r="Q691" t="str">
            <v>690;691</v>
          </cell>
          <cell r="R691">
            <v>610</v>
          </cell>
          <cell r="S691" t="str">
            <v>EQUIPE CIV</v>
          </cell>
          <cell r="T691">
            <v>38966</v>
          </cell>
        </row>
        <row r="692">
          <cell r="B692" t="str">
            <v>DC.530.DD.02</v>
          </cell>
          <cell r="D692" t="str">
            <v>Drenagem</v>
          </cell>
          <cell r="E692" t="str">
            <v>25 dias</v>
          </cell>
          <cell r="F692">
            <v>38881.333333333336</v>
          </cell>
          <cell r="G692">
            <v>38912.333333333336</v>
          </cell>
          <cell r="H692">
            <v>38912.333333333336</v>
          </cell>
          <cell r="I692">
            <v>38945.729166666664</v>
          </cell>
          <cell r="J692">
            <v>38950.729166666664</v>
          </cell>
          <cell r="K692" t="str">
            <v>NA</v>
          </cell>
          <cell r="L692">
            <v>1.22</v>
          </cell>
          <cell r="M692">
            <v>28</v>
          </cell>
          <cell r="N692">
            <v>6.1</v>
          </cell>
          <cell r="O692">
            <v>0</v>
          </cell>
          <cell r="P692">
            <v>21.79</v>
          </cell>
          <cell r="Q692">
            <v>608</v>
          </cell>
          <cell r="R692" t="str">
            <v>689;77;691II+5 dias</v>
          </cell>
          <cell r="S692" t="str">
            <v>EQUIPE CIV[75%]</v>
          </cell>
          <cell r="T692">
            <v>38950</v>
          </cell>
        </row>
        <row r="693">
          <cell r="B693" t="str">
            <v>DC.530.DD.03</v>
          </cell>
          <cell r="D693" t="str">
            <v>Esgoto</v>
          </cell>
          <cell r="E693" t="str">
            <v>25 dias</v>
          </cell>
          <cell r="F693">
            <v>38881.333333333336</v>
          </cell>
          <cell r="G693">
            <v>38919.333333333336</v>
          </cell>
          <cell r="H693" t="str">
            <v>NA</v>
          </cell>
          <cell r="I693">
            <v>38945.729166666664</v>
          </cell>
          <cell r="J693">
            <v>38957.729166666664</v>
          </cell>
          <cell r="K693" t="str">
            <v>NA</v>
          </cell>
          <cell r="L693">
            <v>0.31</v>
          </cell>
          <cell r="M693">
            <v>7</v>
          </cell>
          <cell r="N693">
            <v>0</v>
          </cell>
          <cell r="O693">
            <v>0</v>
          </cell>
          <cell r="P693">
            <v>0</v>
          </cell>
          <cell r="Q693" t="str">
            <v>690II+5 dias</v>
          </cell>
          <cell r="R693">
            <v>689</v>
          </cell>
          <cell r="S693" t="str">
            <v>EQUIPE CIV[40%]</v>
          </cell>
          <cell r="T693">
            <v>38957</v>
          </cell>
        </row>
        <row r="694">
          <cell r="B694" t="str">
            <v>1.4.5</v>
          </cell>
          <cell r="C694" t="str">
            <v>540A</v>
          </cell>
          <cell r="D694" t="str">
            <v>Ar Comprimido</v>
          </cell>
          <cell r="E694" t="str">
            <v>13 dias</v>
          </cell>
          <cell r="F694">
            <v>38853.375</v>
          </cell>
          <cell r="G694">
            <v>39050.333333333336</v>
          </cell>
          <cell r="H694" t="str">
            <v>NA</v>
          </cell>
          <cell r="I694">
            <v>38923.375</v>
          </cell>
          <cell r="J694">
            <v>39066.729166666664</v>
          </cell>
          <cell r="K694" t="str">
            <v>NA</v>
          </cell>
          <cell r="L694">
            <v>0.21</v>
          </cell>
          <cell r="M694">
            <v>4.75</v>
          </cell>
          <cell r="N694">
            <v>0</v>
          </cell>
          <cell r="O694">
            <v>0</v>
          </cell>
          <cell r="P694">
            <v>0</v>
          </cell>
          <cell r="T694">
            <v>39066</v>
          </cell>
        </row>
        <row r="695">
          <cell r="D695" t="str">
            <v>Projeto Detalhado</v>
          </cell>
          <cell r="E695" t="str">
            <v>13 dias</v>
          </cell>
          <cell r="F695">
            <v>38896.375</v>
          </cell>
          <cell r="G695">
            <v>39050.333333333336</v>
          </cell>
          <cell r="H695" t="str">
            <v>NA</v>
          </cell>
          <cell r="I695">
            <v>38923.375</v>
          </cell>
          <cell r="J695">
            <v>39066.729166666664</v>
          </cell>
          <cell r="K695" t="str">
            <v>NA</v>
          </cell>
          <cell r="L695">
            <v>0.21</v>
          </cell>
          <cell r="M695">
            <v>4.75</v>
          </cell>
          <cell r="N695">
            <v>0</v>
          </cell>
          <cell r="O695">
            <v>0</v>
          </cell>
          <cell r="P695">
            <v>0</v>
          </cell>
          <cell r="T695">
            <v>39066</v>
          </cell>
        </row>
        <row r="696">
          <cell r="D696" t="str">
            <v>Tubulação</v>
          </cell>
          <cell r="E696" t="str">
            <v>3 dias</v>
          </cell>
          <cell r="F696">
            <v>38896.375</v>
          </cell>
          <cell r="G696">
            <v>39050.333333333336</v>
          </cell>
          <cell r="H696" t="str">
            <v>NA</v>
          </cell>
          <cell r="I696">
            <v>38897.375</v>
          </cell>
          <cell r="J696">
            <v>39052.729166666664</v>
          </cell>
          <cell r="K696" t="str">
            <v>NA</v>
          </cell>
          <cell r="L696">
            <v>0.01</v>
          </cell>
          <cell r="M696">
            <v>0.25</v>
          </cell>
          <cell r="N696">
            <v>0</v>
          </cell>
          <cell r="O696">
            <v>0</v>
          </cell>
          <cell r="P696">
            <v>0</v>
          </cell>
          <cell r="T696">
            <v>39052</v>
          </cell>
        </row>
        <row r="697">
          <cell r="B697" t="str">
            <v>DH.540.RT.01</v>
          </cell>
          <cell r="D697" t="str">
            <v>Relatório Técnico - Análise Téc. Compressor</v>
          </cell>
          <cell r="E697" t="str">
            <v>3 dias</v>
          </cell>
          <cell r="F697">
            <v>38896.375</v>
          </cell>
          <cell r="G697">
            <v>39050.333333333336</v>
          </cell>
          <cell r="H697" t="str">
            <v>NA</v>
          </cell>
          <cell r="I697">
            <v>38897.375</v>
          </cell>
          <cell r="J697">
            <v>39052.729166666664</v>
          </cell>
          <cell r="K697" t="str">
            <v>NA</v>
          </cell>
          <cell r="L697">
            <v>0.01</v>
          </cell>
          <cell r="M697">
            <v>0.25</v>
          </cell>
          <cell r="N697">
            <v>0</v>
          </cell>
          <cell r="O697">
            <v>0</v>
          </cell>
          <cell r="P697">
            <v>0</v>
          </cell>
          <cell r="Q697" t="str">
            <v>674II</v>
          </cell>
          <cell r="S697" t="str">
            <v>EQUIPE TUB</v>
          </cell>
          <cell r="T697">
            <v>39052</v>
          </cell>
        </row>
        <row r="698">
          <cell r="D698" t="str">
            <v>Elétrica</v>
          </cell>
          <cell r="E698" t="str">
            <v>10 dias</v>
          </cell>
          <cell r="F698">
            <v>38896.375</v>
          </cell>
          <cell r="G698">
            <v>39055.333333333336</v>
          </cell>
          <cell r="H698" t="str">
            <v>NA</v>
          </cell>
          <cell r="I698">
            <v>38912.375</v>
          </cell>
          <cell r="J698">
            <v>39066.729166666664</v>
          </cell>
          <cell r="K698" t="str">
            <v>NA</v>
          </cell>
          <cell r="L698">
            <v>0.11</v>
          </cell>
          <cell r="M698">
            <v>2.5</v>
          </cell>
          <cell r="N698">
            <v>0</v>
          </cell>
          <cell r="O698">
            <v>0</v>
          </cell>
          <cell r="P698">
            <v>0</v>
          </cell>
          <cell r="T698">
            <v>39066</v>
          </cell>
        </row>
        <row r="699">
          <cell r="D699" t="str">
            <v>Desenho De Detalhamento</v>
          </cell>
          <cell r="E699" t="str">
            <v>8 dias</v>
          </cell>
          <cell r="F699">
            <v>38896.375</v>
          </cell>
          <cell r="G699">
            <v>39055.333333333336</v>
          </cell>
          <cell r="H699" t="str">
            <v>NA</v>
          </cell>
          <cell r="I699">
            <v>38908.375</v>
          </cell>
          <cell r="J699">
            <v>39064.729166666664</v>
          </cell>
          <cell r="K699" t="str">
            <v>NA</v>
          </cell>
          <cell r="L699">
            <v>0.09</v>
          </cell>
          <cell r="M699">
            <v>2</v>
          </cell>
          <cell r="N699">
            <v>0</v>
          </cell>
          <cell r="O699">
            <v>0</v>
          </cell>
          <cell r="P699">
            <v>0</v>
          </cell>
          <cell r="R699" t="str">
            <v>700;707II</v>
          </cell>
          <cell r="T699">
            <v>39064</v>
          </cell>
        </row>
        <row r="700">
          <cell r="B700" t="str">
            <v>DE.540.DD.01</v>
          </cell>
          <cell r="D700" t="str">
            <v>Distribuição De Força e Aterramento</v>
          </cell>
          <cell r="E700" t="str">
            <v>4 dias</v>
          </cell>
          <cell r="F700">
            <v>38896.375</v>
          </cell>
          <cell r="G700">
            <v>39055.333333333336</v>
          </cell>
          <cell r="H700" t="str">
            <v>NA</v>
          </cell>
          <cell r="I700">
            <v>38902.375</v>
          </cell>
          <cell r="J700">
            <v>39058.729166666664</v>
          </cell>
          <cell r="K700" t="str">
            <v>NA</v>
          </cell>
          <cell r="L700">
            <v>0.04</v>
          </cell>
          <cell r="M700">
            <v>1</v>
          </cell>
          <cell r="N700">
            <v>0</v>
          </cell>
          <cell r="O700">
            <v>0</v>
          </cell>
          <cell r="P700">
            <v>0</v>
          </cell>
          <cell r="Q700" t="str">
            <v>679II</v>
          </cell>
          <cell r="R700">
            <v>699</v>
          </cell>
          <cell r="S700" t="str">
            <v>EQUIPE ELE</v>
          </cell>
          <cell r="T700">
            <v>39058</v>
          </cell>
        </row>
        <row r="701">
          <cell r="B701" t="str">
            <v>DE.540.DD.02</v>
          </cell>
          <cell r="D701" t="str">
            <v>Iluminação</v>
          </cell>
          <cell r="E701" t="str">
            <v>4 dias</v>
          </cell>
          <cell r="F701">
            <v>38902.375</v>
          </cell>
          <cell r="G701">
            <v>39059.333333333336</v>
          </cell>
          <cell r="H701" t="str">
            <v>NA</v>
          </cell>
          <cell r="I701">
            <v>38908.375</v>
          </cell>
          <cell r="J701">
            <v>39064.729166666664</v>
          </cell>
          <cell r="K701" t="str">
            <v>NA</v>
          </cell>
          <cell r="L701">
            <v>0.04</v>
          </cell>
          <cell r="M701">
            <v>1</v>
          </cell>
          <cell r="N701">
            <v>0</v>
          </cell>
          <cell r="O701">
            <v>0</v>
          </cell>
          <cell r="P701">
            <v>0</v>
          </cell>
          <cell r="Q701">
            <v>698</v>
          </cell>
          <cell r="S701" t="str">
            <v>EQUIPE ELE</v>
          </cell>
          <cell r="T701">
            <v>39064</v>
          </cell>
        </row>
        <row r="702">
          <cell r="B702" t="str">
            <v>DE.540.LC.01</v>
          </cell>
          <cell r="D702" t="str">
            <v>Lista De Linhas/ Cabos</v>
          </cell>
          <cell r="E702" t="str">
            <v>2 dias</v>
          </cell>
          <cell r="F702">
            <v>38908.375</v>
          </cell>
          <cell r="G702">
            <v>39065.333333333336</v>
          </cell>
          <cell r="H702" t="str">
            <v>NA</v>
          </cell>
          <cell r="I702">
            <v>38910.375</v>
          </cell>
          <cell r="J702">
            <v>39066.729166666664</v>
          </cell>
          <cell r="K702" t="str">
            <v>NA</v>
          </cell>
          <cell r="L702">
            <v>0.02</v>
          </cell>
          <cell r="M702">
            <v>0.5</v>
          </cell>
          <cell r="N702">
            <v>0</v>
          </cell>
          <cell r="O702">
            <v>0</v>
          </cell>
          <cell r="P702">
            <v>0</v>
          </cell>
          <cell r="Q702">
            <v>697</v>
          </cell>
          <cell r="S702" t="str">
            <v>EQUIPE ELE</v>
          </cell>
          <cell r="T702">
            <v>39066</v>
          </cell>
        </row>
        <row r="703">
          <cell r="D703" t="str">
            <v>Instrumentação</v>
          </cell>
          <cell r="E703" t="str">
            <v>8 dias</v>
          </cell>
          <cell r="F703">
            <v>38908.375</v>
          </cell>
          <cell r="G703">
            <v>39055.333333333336</v>
          </cell>
          <cell r="H703" t="str">
            <v>NA</v>
          </cell>
          <cell r="I703">
            <v>38923.375</v>
          </cell>
          <cell r="J703">
            <v>39064.729166666664</v>
          </cell>
          <cell r="K703" t="str">
            <v>NA</v>
          </cell>
          <cell r="L703">
            <v>0.09</v>
          </cell>
          <cell r="M703">
            <v>2</v>
          </cell>
          <cell r="N703">
            <v>0</v>
          </cell>
          <cell r="O703">
            <v>0</v>
          </cell>
          <cell r="P703">
            <v>0</v>
          </cell>
          <cell r="T703">
            <v>39064</v>
          </cell>
        </row>
        <row r="704">
          <cell r="B704" t="str">
            <v>DT.540.AJ.01</v>
          </cell>
          <cell r="D704" t="str">
            <v>Arranjos/ Layout’s/ Plano Diretor - Locação De Instrumentos</v>
          </cell>
          <cell r="E704" t="str">
            <v>8 dias</v>
          </cell>
          <cell r="F704">
            <v>38908.375</v>
          </cell>
          <cell r="G704">
            <v>39055.333333333336</v>
          </cell>
          <cell r="H704" t="str">
            <v>NA</v>
          </cell>
          <cell r="I704">
            <v>38918.375</v>
          </cell>
          <cell r="J704">
            <v>39064.729166666664</v>
          </cell>
          <cell r="K704" t="str">
            <v>NA</v>
          </cell>
          <cell r="L704">
            <v>0.09</v>
          </cell>
          <cell r="M704">
            <v>2</v>
          </cell>
          <cell r="N704">
            <v>0</v>
          </cell>
          <cell r="O704">
            <v>0</v>
          </cell>
          <cell r="P704">
            <v>0</v>
          </cell>
          <cell r="Q704" t="str">
            <v>684II</v>
          </cell>
          <cell r="S704" t="str">
            <v>EQUIPE TSA</v>
          </cell>
          <cell r="T704">
            <v>39064</v>
          </cell>
        </row>
        <row r="705">
          <cell r="B705" t="str">
            <v>1.4.6</v>
          </cell>
          <cell r="C705" t="str">
            <v>550A</v>
          </cell>
          <cell r="D705" t="str">
            <v>Telecomunicações e Informática</v>
          </cell>
          <cell r="E705" t="str">
            <v>9 dias</v>
          </cell>
          <cell r="F705">
            <v>38908.375</v>
          </cell>
          <cell r="G705">
            <v>39055.333333333336</v>
          </cell>
          <cell r="H705" t="str">
            <v>NA</v>
          </cell>
          <cell r="I705">
            <v>38929.375</v>
          </cell>
          <cell r="J705">
            <v>39065.729166666664</v>
          </cell>
          <cell r="K705" t="str">
            <v>NA</v>
          </cell>
          <cell r="L705">
            <v>0.21</v>
          </cell>
          <cell r="M705">
            <v>4.75</v>
          </cell>
          <cell r="N705">
            <v>0</v>
          </cell>
          <cell r="O705">
            <v>0</v>
          </cell>
          <cell r="P705">
            <v>0</v>
          </cell>
          <cell r="T705">
            <v>39065</v>
          </cell>
        </row>
        <row r="706">
          <cell r="D706" t="str">
            <v>Projeto Detalhado</v>
          </cell>
          <cell r="E706" t="str">
            <v>9 dias</v>
          </cell>
          <cell r="F706">
            <v>38908.375</v>
          </cell>
          <cell r="G706">
            <v>39055.333333333336</v>
          </cell>
          <cell r="H706" t="str">
            <v>NA</v>
          </cell>
          <cell r="I706">
            <v>38929.375</v>
          </cell>
          <cell r="J706">
            <v>39065.729166666664</v>
          </cell>
          <cell r="K706" t="str">
            <v>NA</v>
          </cell>
          <cell r="L706">
            <v>0.21</v>
          </cell>
          <cell r="M706">
            <v>4.75</v>
          </cell>
          <cell r="N706">
            <v>0</v>
          </cell>
          <cell r="O706">
            <v>0</v>
          </cell>
          <cell r="P706">
            <v>0</v>
          </cell>
          <cell r="T706">
            <v>39065</v>
          </cell>
        </row>
        <row r="707">
          <cell r="D707" t="str">
            <v>Elétrica</v>
          </cell>
          <cell r="E707" t="str">
            <v>9 dias</v>
          </cell>
          <cell r="F707">
            <v>38908.375</v>
          </cell>
          <cell r="G707">
            <v>39055.333333333336</v>
          </cell>
          <cell r="H707" t="str">
            <v>NA</v>
          </cell>
          <cell r="I707">
            <v>38929.375</v>
          </cell>
          <cell r="J707">
            <v>39065.729166666664</v>
          </cell>
          <cell r="K707" t="str">
            <v>NA</v>
          </cell>
          <cell r="L707">
            <v>0.21</v>
          </cell>
          <cell r="M707">
            <v>4.75</v>
          </cell>
          <cell r="N707">
            <v>0</v>
          </cell>
          <cell r="O707">
            <v>0</v>
          </cell>
          <cell r="P707">
            <v>0</v>
          </cell>
          <cell r="T707">
            <v>39065</v>
          </cell>
        </row>
        <row r="708">
          <cell r="D708" t="str">
            <v>Desenho De Detalhamento</v>
          </cell>
          <cell r="E708" t="str">
            <v>6 dias</v>
          </cell>
          <cell r="F708">
            <v>38908.375</v>
          </cell>
          <cell r="G708">
            <v>39055.333333333336</v>
          </cell>
          <cell r="H708" t="str">
            <v>NA</v>
          </cell>
          <cell r="I708">
            <v>38924.375</v>
          </cell>
          <cell r="J708">
            <v>39062.729166666664</v>
          </cell>
          <cell r="K708" t="str">
            <v>NA</v>
          </cell>
          <cell r="L708">
            <v>0.17</v>
          </cell>
          <cell r="M708">
            <v>4</v>
          </cell>
          <cell r="N708">
            <v>0</v>
          </cell>
          <cell r="O708">
            <v>0</v>
          </cell>
          <cell r="P708">
            <v>0</v>
          </cell>
          <cell r="R708" t="str">
            <v>709;710</v>
          </cell>
          <cell r="T708">
            <v>39062</v>
          </cell>
        </row>
        <row r="709">
          <cell r="B709" t="str">
            <v>DE.550.DD.01</v>
          </cell>
          <cell r="D709" t="str">
            <v>Rota De Telecomunicações</v>
          </cell>
          <cell r="E709" t="str">
            <v>6 dias</v>
          </cell>
          <cell r="F709">
            <v>38908.375</v>
          </cell>
          <cell r="G709">
            <v>39055.333333333336</v>
          </cell>
          <cell r="H709" t="str">
            <v>NA</v>
          </cell>
          <cell r="I709">
            <v>38916.375</v>
          </cell>
          <cell r="J709">
            <v>39062.729166666664</v>
          </cell>
          <cell r="K709" t="str">
            <v>NA</v>
          </cell>
          <cell r="L709">
            <v>0.09</v>
          </cell>
          <cell r="M709">
            <v>2</v>
          </cell>
          <cell r="N709">
            <v>0</v>
          </cell>
          <cell r="O709">
            <v>0</v>
          </cell>
          <cell r="P709">
            <v>0</v>
          </cell>
          <cell r="Q709" t="str">
            <v>697II</v>
          </cell>
          <cell r="R709" t="str">
            <v>708II</v>
          </cell>
          <cell r="S709" t="str">
            <v>EQUIPE ELE</v>
          </cell>
          <cell r="T709">
            <v>39062</v>
          </cell>
        </row>
        <row r="710">
          <cell r="B710" t="str">
            <v>DE.550.DD.02</v>
          </cell>
          <cell r="D710" t="str">
            <v>Rede De Telecomunicações</v>
          </cell>
          <cell r="E710" t="str">
            <v>6 dias</v>
          </cell>
          <cell r="F710">
            <v>38916.375</v>
          </cell>
          <cell r="G710">
            <v>39055.333333333336</v>
          </cell>
          <cell r="H710" t="str">
            <v>NA</v>
          </cell>
          <cell r="I710">
            <v>38924.375</v>
          </cell>
          <cell r="J710">
            <v>39062.729166666664</v>
          </cell>
          <cell r="K710" t="str">
            <v>NA</v>
          </cell>
          <cell r="L710">
            <v>0.09</v>
          </cell>
          <cell r="M710">
            <v>2</v>
          </cell>
          <cell r="N710">
            <v>0</v>
          </cell>
          <cell r="O710">
            <v>0</v>
          </cell>
          <cell r="P710">
            <v>0</v>
          </cell>
          <cell r="Q710" t="str">
            <v>707II</v>
          </cell>
          <cell r="S710" t="str">
            <v>EQUIPE ELE</v>
          </cell>
          <cell r="T710">
            <v>39062</v>
          </cell>
        </row>
        <row r="711">
          <cell r="B711" t="str">
            <v>DE.550.LC.01</v>
          </cell>
          <cell r="D711" t="str">
            <v>Lista De Linhas/ Cabos</v>
          </cell>
          <cell r="E711" t="str">
            <v>3 dias</v>
          </cell>
          <cell r="F711">
            <v>38924.375</v>
          </cell>
          <cell r="G711">
            <v>39063.333333333336</v>
          </cell>
          <cell r="H711" t="str">
            <v>NA</v>
          </cell>
          <cell r="I711">
            <v>38929.375</v>
          </cell>
          <cell r="J711">
            <v>39065.729166666664</v>
          </cell>
          <cell r="K711" t="str">
            <v>NA</v>
          </cell>
          <cell r="L711">
            <v>0.03</v>
          </cell>
          <cell r="M711">
            <v>0.63</v>
          </cell>
          <cell r="N711">
            <v>0</v>
          </cell>
          <cell r="O711">
            <v>0</v>
          </cell>
          <cell r="P711">
            <v>0</v>
          </cell>
          <cell r="Q711">
            <v>706</v>
          </cell>
          <cell r="S711" t="str">
            <v>EQUIPE ELE</v>
          </cell>
          <cell r="T711">
            <v>39065</v>
          </cell>
        </row>
        <row r="712">
          <cell r="B712" t="str">
            <v>DE.550.LM.01</v>
          </cell>
          <cell r="D712" t="str">
            <v>Lista De Materiais</v>
          </cell>
          <cell r="E712" t="str">
            <v>1 dia</v>
          </cell>
          <cell r="F712">
            <v>38924.375</v>
          </cell>
          <cell r="G712">
            <v>39063.333333333336</v>
          </cell>
          <cell r="H712" t="str">
            <v>NA</v>
          </cell>
          <cell r="I712">
            <v>38925.375</v>
          </cell>
          <cell r="J712">
            <v>39063.729166666664</v>
          </cell>
          <cell r="K712" t="str">
            <v>NA</v>
          </cell>
          <cell r="L712">
            <v>0.01</v>
          </cell>
          <cell r="M712">
            <v>0.13</v>
          </cell>
          <cell r="N712">
            <v>0</v>
          </cell>
          <cell r="O712">
            <v>0</v>
          </cell>
          <cell r="P712">
            <v>0</v>
          </cell>
          <cell r="Q712">
            <v>706</v>
          </cell>
          <cell r="S712" t="str">
            <v>EQUIPE ELE</v>
          </cell>
          <cell r="T712">
            <v>39063</v>
          </cell>
        </row>
        <row r="713">
          <cell r="B713" t="str">
            <v>1.4.7</v>
          </cell>
          <cell r="C713" t="str">
            <v>560A</v>
          </cell>
          <cell r="D713" t="str">
            <v>Vias e Acessos</v>
          </cell>
          <cell r="E713" t="str">
            <v>43 dias</v>
          </cell>
          <cell r="F713">
            <v>38845.375</v>
          </cell>
          <cell r="G713">
            <v>38884.333333333336</v>
          </cell>
          <cell r="H713">
            <v>38884.333333333336</v>
          </cell>
          <cell r="I713">
            <v>38860.375</v>
          </cell>
          <cell r="J713">
            <v>38947.729166666664</v>
          </cell>
          <cell r="K713" t="str">
            <v>NA</v>
          </cell>
          <cell r="L713">
            <v>1.49</v>
          </cell>
          <cell r="M713">
            <v>34</v>
          </cell>
          <cell r="N713">
            <v>22.65</v>
          </cell>
          <cell r="O713">
            <v>66.62</v>
          </cell>
          <cell r="P713">
            <v>66.62</v>
          </cell>
          <cell r="T713">
            <v>38947</v>
          </cell>
        </row>
        <row r="714">
          <cell r="D714" t="str">
            <v>Projeto Básico</v>
          </cell>
          <cell r="E714" t="str">
            <v>38 dias</v>
          </cell>
          <cell r="F714">
            <v>38845.333333333336</v>
          </cell>
          <cell r="G714">
            <v>38884.333333333336</v>
          </cell>
          <cell r="H714">
            <v>38884.333333333336</v>
          </cell>
          <cell r="I714">
            <v>38860.729166666664</v>
          </cell>
          <cell r="J714">
            <v>38938.729166666664</v>
          </cell>
          <cell r="K714" t="str">
            <v>NA</v>
          </cell>
          <cell r="L714">
            <v>0.37</v>
          </cell>
          <cell r="M714">
            <v>8.5</v>
          </cell>
          <cell r="N714">
            <v>8.15</v>
          </cell>
          <cell r="O714">
            <v>95.88</v>
          </cell>
          <cell r="P714">
            <v>95.88</v>
          </cell>
          <cell r="T714">
            <v>38938</v>
          </cell>
        </row>
        <row r="715">
          <cell r="D715" t="str">
            <v>Civil</v>
          </cell>
          <cell r="E715" t="str">
            <v>38 dias</v>
          </cell>
          <cell r="F715">
            <v>38845.333333333336</v>
          </cell>
          <cell r="G715">
            <v>38884.333333333336</v>
          </cell>
          <cell r="H715">
            <v>38884.333333333336</v>
          </cell>
          <cell r="I715">
            <v>38860.729166666664</v>
          </cell>
          <cell r="J715">
            <v>38938.729166666664</v>
          </cell>
          <cell r="K715" t="str">
            <v>NA</v>
          </cell>
          <cell r="L715">
            <v>0.37</v>
          </cell>
          <cell r="M715">
            <v>8.5</v>
          </cell>
          <cell r="N715">
            <v>8.15</v>
          </cell>
          <cell r="O715">
            <v>0</v>
          </cell>
          <cell r="P715">
            <v>95.88</v>
          </cell>
          <cell r="T715">
            <v>38938</v>
          </cell>
        </row>
        <row r="716">
          <cell r="B716" t="str">
            <v>BC.560.DB.01</v>
          </cell>
          <cell r="D716" t="str">
            <v>Desenho Básico - Estudo Traçado Acesso Usina</v>
          </cell>
          <cell r="E716" t="str">
            <v>21 dias</v>
          </cell>
          <cell r="F716">
            <v>38845.333333333336</v>
          </cell>
          <cell r="G716">
            <v>38903.333333333336</v>
          </cell>
          <cell r="H716">
            <v>38903.333333333336</v>
          </cell>
          <cell r="I716">
            <v>38853.729166666664</v>
          </cell>
          <cell r="J716">
            <v>38931.729166666664</v>
          </cell>
          <cell r="K716">
            <v>38931.729166666664</v>
          </cell>
          <cell r="L716">
            <v>0.22</v>
          </cell>
          <cell r="M716">
            <v>5</v>
          </cell>
          <cell r="N716">
            <v>5</v>
          </cell>
          <cell r="O716">
            <v>0</v>
          </cell>
          <cell r="P716">
            <v>100</v>
          </cell>
          <cell r="Q716" t="str">
            <v>16II</v>
          </cell>
          <cell r="R716" t="str">
            <v>716;719II</v>
          </cell>
          <cell r="S716" t="str">
            <v>EQUIPE CIV</v>
          </cell>
          <cell r="T716">
            <v>38931</v>
          </cell>
        </row>
        <row r="717">
          <cell r="B717" t="str">
            <v>BC.560.MD.01</v>
          </cell>
          <cell r="D717" t="str">
            <v>Memorial Descritivo - Estudo Traçado</v>
          </cell>
          <cell r="E717" t="str">
            <v>4 dias</v>
          </cell>
          <cell r="F717">
            <v>38845.333333333336</v>
          </cell>
          <cell r="G717">
            <v>38884.333333333336</v>
          </cell>
          <cell r="H717">
            <v>38884.333333333336</v>
          </cell>
          <cell r="I717">
            <v>38853.729166666664</v>
          </cell>
          <cell r="J717">
            <v>38890.729166666664</v>
          </cell>
          <cell r="K717" t="str">
            <v>NA</v>
          </cell>
          <cell r="L717">
            <v>0.15</v>
          </cell>
          <cell r="M717">
            <v>3.5</v>
          </cell>
          <cell r="N717">
            <v>3.15</v>
          </cell>
          <cell r="O717">
            <v>0</v>
          </cell>
          <cell r="P717">
            <v>90</v>
          </cell>
          <cell r="Q717" t="str">
            <v>16II</v>
          </cell>
          <cell r="R717">
            <v>716</v>
          </cell>
          <cell r="S717" t="str">
            <v>EQUIPE CIV</v>
          </cell>
          <cell r="T717">
            <v>38890</v>
          </cell>
        </row>
        <row r="718">
          <cell r="D718" t="str">
            <v>APROVAÇÃO EBX</v>
          </cell>
          <cell r="E718" t="str">
            <v>5 dias</v>
          </cell>
          <cell r="F718">
            <v>38853.375</v>
          </cell>
          <cell r="G718">
            <v>38932.333333333336</v>
          </cell>
          <cell r="H718" t="str">
            <v>NA</v>
          </cell>
          <cell r="I718">
            <v>38860.729166666664</v>
          </cell>
          <cell r="J718">
            <v>38938.729166666664</v>
          </cell>
          <cell r="K718" t="str">
            <v>NA</v>
          </cell>
          <cell r="L718">
            <v>0</v>
          </cell>
          <cell r="M718">
            <v>0</v>
          </cell>
          <cell r="N718">
            <v>0</v>
          </cell>
          <cell r="O718">
            <v>0</v>
          </cell>
          <cell r="P718" t="str">
            <v>#ERRO</v>
          </cell>
          <cell r="Q718" t="str">
            <v>714;715</v>
          </cell>
          <cell r="T718">
            <v>38938</v>
          </cell>
        </row>
        <row r="719">
          <cell r="D719" t="str">
            <v>Projeto Detalhado</v>
          </cell>
          <cell r="E719" t="str">
            <v>26 dias</v>
          </cell>
          <cell r="F719" t="str">
            <v>NA</v>
          </cell>
          <cell r="G719">
            <v>38910.333333333336</v>
          </cell>
          <cell r="H719">
            <v>38910.333333333336</v>
          </cell>
          <cell r="I719" t="str">
            <v>NA</v>
          </cell>
          <cell r="J719">
            <v>38947.729166666664</v>
          </cell>
          <cell r="K719" t="str">
            <v>NA</v>
          </cell>
          <cell r="L719">
            <v>1.1100000000000001</v>
          </cell>
          <cell r="M719">
            <v>25.5</v>
          </cell>
          <cell r="N719">
            <v>14.5</v>
          </cell>
          <cell r="O719">
            <v>56.86</v>
          </cell>
          <cell r="P719">
            <v>56.86</v>
          </cell>
          <cell r="T719">
            <v>38947</v>
          </cell>
        </row>
        <row r="720">
          <cell r="D720" t="str">
            <v>Civil</v>
          </cell>
          <cell r="E720" t="str">
            <v>26 dias</v>
          </cell>
          <cell r="F720" t="str">
            <v>NA</v>
          </cell>
          <cell r="G720">
            <v>38910.333333333336</v>
          </cell>
          <cell r="H720">
            <v>38910.333333333336</v>
          </cell>
          <cell r="I720" t="str">
            <v>NA</v>
          </cell>
          <cell r="J720">
            <v>38947.729166666664</v>
          </cell>
          <cell r="K720" t="str">
            <v>NA</v>
          </cell>
          <cell r="L720">
            <v>1.1100000000000001</v>
          </cell>
          <cell r="M720">
            <v>25.5</v>
          </cell>
          <cell r="N720">
            <v>14.5</v>
          </cell>
          <cell r="O720">
            <v>0</v>
          </cell>
          <cell r="P720">
            <v>56.86</v>
          </cell>
          <cell r="T720">
            <v>38947</v>
          </cell>
        </row>
        <row r="721">
          <cell r="B721" t="str">
            <v>DC.560.DD.01</v>
          </cell>
          <cell r="D721" t="str">
            <v>Desenho De Detalhamento - Proj. Geométrico/ Terrapl.</v>
          </cell>
          <cell r="E721" t="str">
            <v>26 dias</v>
          </cell>
          <cell r="F721" t="str">
            <v>NA</v>
          </cell>
          <cell r="G721">
            <v>38910.333333333336</v>
          </cell>
          <cell r="H721">
            <v>38910.333333333336</v>
          </cell>
          <cell r="I721" t="str">
            <v>NA</v>
          </cell>
          <cell r="J721">
            <v>38947.729166666664</v>
          </cell>
          <cell r="K721" t="str">
            <v>NA</v>
          </cell>
          <cell r="L721">
            <v>0.92</v>
          </cell>
          <cell r="M721">
            <v>21</v>
          </cell>
          <cell r="N721">
            <v>10</v>
          </cell>
          <cell r="O721">
            <v>0</v>
          </cell>
          <cell r="P721">
            <v>47.62</v>
          </cell>
          <cell r="Q721" t="str">
            <v>714II</v>
          </cell>
          <cell r="R721" t="str">
            <v>720II;721II;609</v>
          </cell>
          <cell r="S721" t="str">
            <v>EQUIPE CIV</v>
          </cell>
          <cell r="T721">
            <v>38947</v>
          </cell>
        </row>
        <row r="722">
          <cell r="B722" t="str">
            <v>DC.560.MD.01</v>
          </cell>
          <cell r="D722" t="str">
            <v>Memorial Descritivo - Proj. Geométrico/ Acesso Principal</v>
          </cell>
          <cell r="E722" t="str">
            <v>4 dias</v>
          </cell>
          <cell r="F722" t="str">
            <v>NA</v>
          </cell>
          <cell r="G722">
            <v>38926.333333333336</v>
          </cell>
          <cell r="H722">
            <v>38926.333333333336</v>
          </cell>
          <cell r="I722" t="str">
            <v>NA</v>
          </cell>
          <cell r="J722">
            <v>38931.729166666664</v>
          </cell>
          <cell r="K722">
            <v>38931.729166666664</v>
          </cell>
          <cell r="L722">
            <v>0.08</v>
          </cell>
          <cell r="M722">
            <v>1.75</v>
          </cell>
          <cell r="N722">
            <v>1.75</v>
          </cell>
          <cell r="O722">
            <v>0</v>
          </cell>
          <cell r="P722">
            <v>100</v>
          </cell>
          <cell r="Q722" t="str">
            <v>719II</v>
          </cell>
          <cell r="S722" t="str">
            <v>EQUIPE CIV</v>
          </cell>
          <cell r="T722">
            <v>38931</v>
          </cell>
        </row>
        <row r="723">
          <cell r="B723" t="str">
            <v>DC.560.NS.01</v>
          </cell>
          <cell r="D723" t="str">
            <v>Notas De Serviço - Acesso Principal</v>
          </cell>
          <cell r="E723" t="str">
            <v>5 dias</v>
          </cell>
          <cell r="F723" t="str">
            <v>NA</v>
          </cell>
          <cell r="G723">
            <v>38929.333333333336</v>
          </cell>
          <cell r="H723">
            <v>38929.333333333336</v>
          </cell>
          <cell r="I723" t="str">
            <v>NA</v>
          </cell>
          <cell r="J723">
            <v>38933.729166666664</v>
          </cell>
          <cell r="K723">
            <v>38933.729166666664</v>
          </cell>
          <cell r="L723">
            <v>0.12</v>
          </cell>
          <cell r="M723">
            <v>2.75</v>
          </cell>
          <cell r="N723">
            <v>2.75</v>
          </cell>
          <cell r="O723">
            <v>0</v>
          </cell>
          <cell r="P723">
            <v>100</v>
          </cell>
          <cell r="Q723" t="str">
            <v>719II</v>
          </cell>
          <cell r="S723" t="str">
            <v>EQUIPE CIV</v>
          </cell>
          <cell r="T723">
            <v>38933</v>
          </cell>
        </row>
        <row r="724">
          <cell r="B724" t="str">
            <v>1.4.8</v>
          </cell>
          <cell r="C724" t="str">
            <v>570A</v>
          </cell>
          <cell r="D724" t="str">
            <v>Sala de Controle</v>
          </cell>
          <cell r="E724" t="str">
            <v>10 dias</v>
          </cell>
          <cell r="F724">
            <v>38845.375</v>
          </cell>
          <cell r="G724">
            <v>39055.333333333336</v>
          </cell>
          <cell r="H724" t="str">
            <v>NA</v>
          </cell>
          <cell r="I724">
            <v>38926.375</v>
          </cell>
          <cell r="J724">
            <v>39066.729166666664</v>
          </cell>
          <cell r="K724" t="str">
            <v>NA</v>
          </cell>
          <cell r="L724">
            <v>0.75</v>
          </cell>
          <cell r="M724">
            <v>17.13</v>
          </cell>
          <cell r="N724">
            <v>0</v>
          </cell>
          <cell r="O724">
            <v>0</v>
          </cell>
          <cell r="P724">
            <v>0</v>
          </cell>
          <cell r="T724">
            <v>39066</v>
          </cell>
        </row>
        <row r="725">
          <cell r="D725" t="str">
            <v>Projeto Básico</v>
          </cell>
          <cell r="E725" t="str">
            <v>7 dias</v>
          </cell>
          <cell r="F725">
            <v>38845.375</v>
          </cell>
          <cell r="G725">
            <v>39055.333333333336</v>
          </cell>
          <cell r="H725" t="str">
            <v>NA</v>
          </cell>
          <cell r="I725">
            <v>38888.375</v>
          </cell>
          <cell r="J725">
            <v>39063.729166666664</v>
          </cell>
          <cell r="K725" t="str">
            <v>NA</v>
          </cell>
          <cell r="L725">
            <v>0.25</v>
          </cell>
          <cell r="M725">
            <v>5.63</v>
          </cell>
          <cell r="N725">
            <v>0</v>
          </cell>
          <cell r="O725">
            <v>0</v>
          </cell>
          <cell r="P725">
            <v>0</v>
          </cell>
          <cell r="R725" t="str">
            <v>729II</v>
          </cell>
          <cell r="T725">
            <v>39063</v>
          </cell>
        </row>
        <row r="726">
          <cell r="D726" t="str">
            <v>Instrumentação</v>
          </cell>
          <cell r="E726" t="str">
            <v>7 dias</v>
          </cell>
          <cell r="F726">
            <v>38845.375</v>
          </cell>
          <cell r="G726">
            <v>39055.333333333336</v>
          </cell>
          <cell r="H726" t="str">
            <v>NA</v>
          </cell>
          <cell r="I726">
            <v>38888.375</v>
          </cell>
          <cell r="J726">
            <v>39063.729166666664</v>
          </cell>
          <cell r="K726" t="str">
            <v>NA</v>
          </cell>
          <cell r="L726">
            <v>0.25</v>
          </cell>
          <cell r="M726">
            <v>5.63</v>
          </cell>
          <cell r="N726">
            <v>0</v>
          </cell>
          <cell r="O726">
            <v>0</v>
          </cell>
          <cell r="P726">
            <v>0</v>
          </cell>
          <cell r="T726">
            <v>39063</v>
          </cell>
        </row>
        <row r="727">
          <cell r="B727" t="str">
            <v>BT.570.ET.01</v>
          </cell>
          <cell r="D727" t="str">
            <v>Especificação Técnica - Equipamentos/ Instrumentos</v>
          </cell>
          <cell r="E727" t="str">
            <v>6 dias</v>
          </cell>
          <cell r="F727">
            <v>38856.375</v>
          </cell>
          <cell r="G727">
            <v>39055.333333333336</v>
          </cell>
          <cell r="H727" t="str">
            <v>NA</v>
          </cell>
          <cell r="I727">
            <v>38888.375</v>
          </cell>
          <cell r="J727">
            <v>39062.729166666664</v>
          </cell>
          <cell r="K727" t="str">
            <v>NA</v>
          </cell>
          <cell r="L727">
            <v>0.11</v>
          </cell>
          <cell r="M727">
            <v>2.5</v>
          </cell>
          <cell r="N727">
            <v>0</v>
          </cell>
          <cell r="O727">
            <v>0</v>
          </cell>
          <cell r="P727">
            <v>0</v>
          </cell>
          <cell r="Q727" t="str">
            <v>684II</v>
          </cell>
          <cell r="S727" t="str">
            <v>EQUIPE TSA</v>
          </cell>
          <cell r="T727">
            <v>39062</v>
          </cell>
        </row>
        <row r="728">
          <cell r="B728" t="str">
            <v>BT.570.FD.01</v>
          </cell>
          <cell r="D728" t="str">
            <v>Folha De Dados</v>
          </cell>
          <cell r="E728" t="str">
            <v>7 dias</v>
          </cell>
          <cell r="F728">
            <v>38845.375</v>
          </cell>
          <cell r="G728">
            <v>39055.333333333336</v>
          </cell>
          <cell r="H728" t="str">
            <v>NA</v>
          </cell>
          <cell r="I728">
            <v>38856.375</v>
          </cell>
          <cell r="J728">
            <v>39063.729166666664</v>
          </cell>
          <cell r="K728" t="str">
            <v>NA</v>
          </cell>
          <cell r="L728">
            <v>0.14000000000000001</v>
          </cell>
          <cell r="M728">
            <v>3.13</v>
          </cell>
          <cell r="N728">
            <v>0</v>
          </cell>
          <cell r="O728">
            <v>0</v>
          </cell>
          <cell r="P728">
            <v>0</v>
          </cell>
          <cell r="Q728" t="str">
            <v>684II</v>
          </cell>
          <cell r="S728" t="str">
            <v>EQUIPE TSA</v>
          </cell>
          <cell r="T728">
            <v>39063</v>
          </cell>
        </row>
        <row r="729">
          <cell r="D729" t="str">
            <v>Projeto Detalhado</v>
          </cell>
          <cell r="E729" t="str">
            <v>10 dias</v>
          </cell>
          <cell r="F729">
            <v>38888.375</v>
          </cell>
          <cell r="G729">
            <v>39055.333333333336</v>
          </cell>
          <cell r="H729" t="str">
            <v>NA</v>
          </cell>
          <cell r="I729">
            <v>38926.375</v>
          </cell>
          <cell r="J729">
            <v>39066.729166666664</v>
          </cell>
          <cell r="K729" t="str">
            <v>NA</v>
          </cell>
          <cell r="L729">
            <v>0.5</v>
          </cell>
          <cell r="M729">
            <v>11.5</v>
          </cell>
          <cell r="N729">
            <v>0</v>
          </cell>
          <cell r="O729">
            <v>0</v>
          </cell>
          <cell r="P729">
            <v>0</v>
          </cell>
          <cell r="T729">
            <v>39066</v>
          </cell>
        </row>
        <row r="730">
          <cell r="D730" t="str">
            <v>Civil</v>
          </cell>
          <cell r="E730" t="str">
            <v>10 dias</v>
          </cell>
          <cell r="F730">
            <v>38888.375</v>
          </cell>
          <cell r="G730">
            <v>39055.333333333336</v>
          </cell>
          <cell r="H730" t="str">
            <v>NA</v>
          </cell>
          <cell r="I730">
            <v>38904.375</v>
          </cell>
          <cell r="J730">
            <v>39066.729166666664</v>
          </cell>
          <cell r="K730" t="str">
            <v>NA</v>
          </cell>
          <cell r="L730">
            <v>0.35</v>
          </cell>
          <cell r="M730">
            <v>8</v>
          </cell>
          <cell r="N730">
            <v>0</v>
          </cell>
          <cell r="O730">
            <v>0</v>
          </cell>
          <cell r="P730">
            <v>0</v>
          </cell>
          <cell r="T730">
            <v>39066</v>
          </cell>
        </row>
        <row r="731">
          <cell r="B731" t="str">
            <v>DC.570.DD.01</v>
          </cell>
          <cell r="D731" t="str">
            <v>Desenho De Detalhamento - Fundação, Vigas e Laje</v>
          </cell>
          <cell r="E731" t="str">
            <v>10 dias</v>
          </cell>
          <cell r="F731">
            <v>38888.375</v>
          </cell>
          <cell r="G731">
            <v>39055.333333333336</v>
          </cell>
          <cell r="H731" t="str">
            <v>NA</v>
          </cell>
          <cell r="I731">
            <v>38904.375</v>
          </cell>
          <cell r="J731">
            <v>39066.729166666664</v>
          </cell>
          <cell r="K731" t="str">
            <v>NA</v>
          </cell>
          <cell r="L731">
            <v>0.35</v>
          </cell>
          <cell r="M731">
            <v>8</v>
          </cell>
          <cell r="N731">
            <v>0</v>
          </cell>
          <cell r="O731">
            <v>0</v>
          </cell>
          <cell r="P731">
            <v>0</v>
          </cell>
          <cell r="Q731" t="str">
            <v>723II</v>
          </cell>
          <cell r="R731" t="str">
            <v>731II</v>
          </cell>
          <cell r="S731" t="str">
            <v>EQUIPE CIV</v>
          </cell>
          <cell r="T731">
            <v>39066</v>
          </cell>
        </row>
        <row r="732">
          <cell r="D732" t="str">
            <v>Elétrica</v>
          </cell>
          <cell r="E732" t="str">
            <v>3 dias</v>
          </cell>
          <cell r="F732">
            <v>38904.375</v>
          </cell>
          <cell r="G732">
            <v>39055.333333333336</v>
          </cell>
          <cell r="H732" t="str">
            <v>NA</v>
          </cell>
          <cell r="I732">
            <v>38911.375</v>
          </cell>
          <cell r="J732">
            <v>39057.729166666664</v>
          </cell>
          <cell r="K732" t="str">
            <v>NA</v>
          </cell>
          <cell r="L732">
            <v>0.02</v>
          </cell>
          <cell r="M732">
            <v>0.5</v>
          </cell>
          <cell r="N732">
            <v>0</v>
          </cell>
          <cell r="O732">
            <v>0</v>
          </cell>
          <cell r="P732">
            <v>0</v>
          </cell>
          <cell r="T732">
            <v>39057</v>
          </cell>
        </row>
        <row r="733">
          <cell r="B733" t="str">
            <v>DE.570.DD.01</v>
          </cell>
          <cell r="D733" t="str">
            <v>Desenho De Detalhamento - Malha De Aterramento</v>
          </cell>
          <cell r="E733" t="str">
            <v>3 dias</v>
          </cell>
          <cell r="F733">
            <v>38904.375</v>
          </cell>
          <cell r="G733">
            <v>39055.333333333336</v>
          </cell>
          <cell r="H733" t="str">
            <v>NA</v>
          </cell>
          <cell r="I733">
            <v>38909.375</v>
          </cell>
          <cell r="J733">
            <v>39057.729166666664</v>
          </cell>
          <cell r="K733" t="str">
            <v>NA</v>
          </cell>
          <cell r="L733">
            <v>0.02</v>
          </cell>
          <cell r="M733">
            <v>0.5</v>
          </cell>
          <cell r="N733">
            <v>0</v>
          </cell>
          <cell r="O733">
            <v>0</v>
          </cell>
          <cell r="P733">
            <v>0</v>
          </cell>
          <cell r="Q733" t="str">
            <v>729II</v>
          </cell>
          <cell r="R733">
            <v>740</v>
          </cell>
          <cell r="S733" t="str">
            <v>EQUIPE ELE</v>
          </cell>
          <cell r="T733">
            <v>39057</v>
          </cell>
        </row>
        <row r="734">
          <cell r="D734" t="str">
            <v>Instrumentação</v>
          </cell>
          <cell r="E734" t="str">
            <v>8 dias</v>
          </cell>
          <cell r="F734">
            <v>38911.375</v>
          </cell>
          <cell r="G734">
            <v>39055.333333333336</v>
          </cell>
          <cell r="H734" t="str">
            <v>NA</v>
          </cell>
          <cell r="I734">
            <v>38926.375</v>
          </cell>
          <cell r="J734">
            <v>39064.729166666664</v>
          </cell>
          <cell r="K734" t="str">
            <v>NA</v>
          </cell>
          <cell r="L734">
            <v>0.13</v>
          </cell>
          <cell r="M734">
            <v>3</v>
          </cell>
          <cell r="N734">
            <v>0</v>
          </cell>
          <cell r="O734">
            <v>0</v>
          </cell>
          <cell r="P734">
            <v>0</v>
          </cell>
          <cell r="T734">
            <v>39064</v>
          </cell>
        </row>
        <row r="735">
          <cell r="B735" t="str">
            <v>DT.570.DD.01</v>
          </cell>
          <cell r="D735" t="str">
            <v>Desenho De Detalhamento - Configuração Do Sistema</v>
          </cell>
          <cell r="E735" t="str">
            <v>8 dias</v>
          </cell>
          <cell r="F735">
            <v>38911.375</v>
          </cell>
          <cell r="G735">
            <v>39055.333333333336</v>
          </cell>
          <cell r="H735" t="str">
            <v>NA</v>
          </cell>
          <cell r="I735">
            <v>38923.375</v>
          </cell>
          <cell r="J735">
            <v>39064.729166666664</v>
          </cell>
          <cell r="K735" t="str">
            <v>NA</v>
          </cell>
          <cell r="L735">
            <v>0.13</v>
          </cell>
          <cell r="M735">
            <v>3</v>
          </cell>
          <cell r="N735">
            <v>0</v>
          </cell>
          <cell r="O735">
            <v>0</v>
          </cell>
          <cell r="P735">
            <v>0</v>
          </cell>
          <cell r="Q735" t="str">
            <v>684II</v>
          </cell>
          <cell r="S735" t="str">
            <v>EQUIPE TSA</v>
          </cell>
          <cell r="T735">
            <v>39064</v>
          </cell>
        </row>
        <row r="736">
          <cell r="B736" t="str">
            <v>1.4.9</v>
          </cell>
          <cell r="C736" t="str">
            <v>580A</v>
          </cell>
          <cell r="D736" t="str">
            <v>Sistema de Combate à Incêndio</v>
          </cell>
          <cell r="E736" t="str">
            <v>10 dias</v>
          </cell>
          <cell r="F736">
            <v>38881.375</v>
          </cell>
          <cell r="G736">
            <v>39050.333333333336</v>
          </cell>
          <cell r="H736" t="str">
            <v>NA</v>
          </cell>
          <cell r="I736">
            <v>38904.375</v>
          </cell>
          <cell r="J736">
            <v>39063.729166666664</v>
          </cell>
          <cell r="K736" t="str">
            <v>NA</v>
          </cell>
          <cell r="L736">
            <v>0.22</v>
          </cell>
          <cell r="M736">
            <v>5</v>
          </cell>
          <cell r="N736">
            <v>0</v>
          </cell>
          <cell r="O736">
            <v>0</v>
          </cell>
          <cell r="P736">
            <v>0</v>
          </cell>
          <cell r="T736">
            <v>39063</v>
          </cell>
        </row>
        <row r="737">
          <cell r="D737" t="str">
            <v>Projeto Detalhado</v>
          </cell>
          <cell r="E737" t="str">
            <v>10 dias</v>
          </cell>
          <cell r="F737">
            <v>38890.375</v>
          </cell>
          <cell r="G737">
            <v>39050.333333333336</v>
          </cell>
          <cell r="H737" t="str">
            <v>NA</v>
          </cell>
          <cell r="I737">
            <v>38904.375</v>
          </cell>
          <cell r="J737">
            <v>39063.729166666664</v>
          </cell>
          <cell r="K737" t="str">
            <v>NA</v>
          </cell>
          <cell r="L737">
            <v>0.22</v>
          </cell>
          <cell r="M737">
            <v>5</v>
          </cell>
          <cell r="N737">
            <v>0</v>
          </cell>
          <cell r="O737">
            <v>0</v>
          </cell>
          <cell r="P737">
            <v>0</v>
          </cell>
          <cell r="T737">
            <v>39063</v>
          </cell>
        </row>
        <row r="738">
          <cell r="D738" t="str">
            <v>Tubulação</v>
          </cell>
          <cell r="E738" t="str">
            <v>3 dias</v>
          </cell>
          <cell r="F738">
            <v>38890.375</v>
          </cell>
          <cell r="G738">
            <v>39050.333333333336</v>
          </cell>
          <cell r="H738" t="str">
            <v>NA</v>
          </cell>
          <cell r="I738">
            <v>38895.375</v>
          </cell>
          <cell r="J738">
            <v>39052.729166666664</v>
          </cell>
          <cell r="K738" t="str">
            <v>NA</v>
          </cell>
          <cell r="L738">
            <v>0.13</v>
          </cell>
          <cell r="M738">
            <v>3</v>
          </cell>
          <cell r="N738">
            <v>0</v>
          </cell>
          <cell r="O738">
            <v>0</v>
          </cell>
          <cell r="P738">
            <v>0</v>
          </cell>
          <cell r="T738">
            <v>39052</v>
          </cell>
        </row>
        <row r="739">
          <cell r="B739" t="str">
            <v>DH.580.RT.01</v>
          </cell>
          <cell r="D739" t="str">
            <v>Relatório Técnico - Análise Téc. Sistema De Incêndio</v>
          </cell>
          <cell r="E739" t="str">
            <v>3 dias</v>
          </cell>
          <cell r="F739">
            <v>38890.375</v>
          </cell>
          <cell r="G739">
            <v>39050.333333333336</v>
          </cell>
          <cell r="H739" t="str">
            <v>NA</v>
          </cell>
          <cell r="I739">
            <v>38895.375</v>
          </cell>
          <cell r="J739">
            <v>39052.729166666664</v>
          </cell>
          <cell r="K739" t="str">
            <v>NA</v>
          </cell>
          <cell r="L739">
            <v>0.13</v>
          </cell>
          <cell r="M739">
            <v>3</v>
          </cell>
          <cell r="N739">
            <v>0</v>
          </cell>
          <cell r="O739">
            <v>0</v>
          </cell>
          <cell r="P739">
            <v>0</v>
          </cell>
          <cell r="Q739" t="str">
            <v>674II</v>
          </cell>
          <cell r="S739" t="str">
            <v>EQUIPE TUB</v>
          </cell>
          <cell r="T739">
            <v>39052</v>
          </cell>
        </row>
        <row r="740">
          <cell r="D740" t="str">
            <v>Elétrica</v>
          </cell>
          <cell r="E740" t="str">
            <v>4 dias</v>
          </cell>
          <cell r="F740">
            <v>38890.375</v>
          </cell>
          <cell r="G740">
            <v>39058.333333333336</v>
          </cell>
          <cell r="H740" t="str">
            <v>NA</v>
          </cell>
          <cell r="I740">
            <v>38904.375</v>
          </cell>
          <cell r="J740">
            <v>39063.729166666664</v>
          </cell>
          <cell r="K740" t="str">
            <v>NA</v>
          </cell>
          <cell r="L740">
            <v>0.09</v>
          </cell>
          <cell r="M740">
            <v>2</v>
          </cell>
          <cell r="N740">
            <v>0</v>
          </cell>
          <cell r="O740">
            <v>0</v>
          </cell>
          <cell r="P740">
            <v>0</v>
          </cell>
          <cell r="T740">
            <v>39063</v>
          </cell>
        </row>
        <row r="741">
          <cell r="D741" t="str">
            <v>Desenho De Detalhamento</v>
          </cell>
          <cell r="E741" t="str">
            <v>4 dias</v>
          </cell>
          <cell r="F741">
            <v>38890.375</v>
          </cell>
          <cell r="G741">
            <v>39058.333333333336</v>
          </cell>
          <cell r="H741" t="str">
            <v>NA</v>
          </cell>
          <cell r="I741">
            <v>38902.375</v>
          </cell>
          <cell r="J741">
            <v>39063.729166666664</v>
          </cell>
          <cell r="K741" t="str">
            <v>NA</v>
          </cell>
          <cell r="L741">
            <v>0.09</v>
          </cell>
          <cell r="M741">
            <v>2</v>
          </cell>
          <cell r="N741">
            <v>0</v>
          </cell>
          <cell r="O741">
            <v>0</v>
          </cell>
          <cell r="P741">
            <v>0</v>
          </cell>
          <cell r="T741">
            <v>39063</v>
          </cell>
        </row>
        <row r="742">
          <cell r="B742" t="str">
            <v>DE.580.DD.01</v>
          </cell>
          <cell r="D742" t="str">
            <v>Distribuição De Força e Aterramento</v>
          </cell>
          <cell r="E742" t="str">
            <v>4 dias</v>
          </cell>
          <cell r="F742">
            <v>38890.375</v>
          </cell>
          <cell r="G742">
            <v>39058.333333333336</v>
          </cell>
          <cell r="H742" t="str">
            <v>NA</v>
          </cell>
          <cell r="I742">
            <v>38896.375</v>
          </cell>
          <cell r="J742">
            <v>39063.729166666664</v>
          </cell>
          <cell r="K742" t="str">
            <v>NA</v>
          </cell>
          <cell r="L742">
            <v>0.04</v>
          </cell>
          <cell r="M742">
            <v>1</v>
          </cell>
          <cell r="N742">
            <v>0</v>
          </cell>
          <cell r="O742">
            <v>0</v>
          </cell>
          <cell r="P742">
            <v>0</v>
          </cell>
          <cell r="Q742">
            <v>731</v>
          </cell>
          <cell r="R742" t="str">
            <v>741II</v>
          </cell>
          <cell r="S742" t="str">
            <v>EQUIPE ELE</v>
          </cell>
          <cell r="T742">
            <v>39063</v>
          </cell>
        </row>
        <row r="743">
          <cell r="B743" t="str">
            <v>DE.580.DD.02</v>
          </cell>
          <cell r="D743" t="str">
            <v>Iluminação</v>
          </cell>
          <cell r="E743" t="str">
            <v>4 dias</v>
          </cell>
          <cell r="F743">
            <v>38896.375</v>
          </cell>
          <cell r="G743">
            <v>39058.333333333336</v>
          </cell>
          <cell r="H743" t="str">
            <v>NA</v>
          </cell>
          <cell r="I743">
            <v>38902.375</v>
          </cell>
          <cell r="J743">
            <v>39063.729166666664</v>
          </cell>
          <cell r="K743" t="str">
            <v>NA</v>
          </cell>
          <cell r="L743">
            <v>0.04</v>
          </cell>
          <cell r="M743">
            <v>1</v>
          </cell>
          <cell r="N743">
            <v>0</v>
          </cell>
          <cell r="O743">
            <v>0</v>
          </cell>
          <cell r="P743">
            <v>0</v>
          </cell>
          <cell r="Q743" t="str">
            <v>740II</v>
          </cell>
          <cell r="S743" t="str">
            <v>EQUIPE ELE</v>
          </cell>
          <cell r="T743">
            <v>39063</v>
          </cell>
        </row>
        <row r="744">
          <cell r="B744" t="str">
            <v>1.4.10</v>
          </cell>
          <cell r="C744" t="str">
            <v>590A</v>
          </cell>
          <cell r="D744" t="str">
            <v>Instalações Provisórias</v>
          </cell>
          <cell r="E744" t="str">
            <v>7 dias</v>
          </cell>
          <cell r="F744" t="str">
            <v>NA</v>
          </cell>
          <cell r="G744">
            <v>38951.333333333336</v>
          </cell>
          <cell r="H744" t="str">
            <v>NA</v>
          </cell>
          <cell r="I744" t="str">
            <v>NA</v>
          </cell>
          <cell r="J744">
            <v>38959.729166666664</v>
          </cell>
          <cell r="K744" t="str">
            <v>NA</v>
          </cell>
          <cell r="L744">
            <v>0.17</v>
          </cell>
          <cell r="M744">
            <v>4</v>
          </cell>
          <cell r="N744">
            <v>0</v>
          </cell>
          <cell r="O744">
            <v>0</v>
          </cell>
          <cell r="P744">
            <v>0</v>
          </cell>
          <cell r="T744">
            <v>38959</v>
          </cell>
        </row>
        <row r="745">
          <cell r="D745" t="str">
            <v>Projeto Detalhado</v>
          </cell>
          <cell r="E745" t="str">
            <v>7 dias</v>
          </cell>
          <cell r="F745" t="str">
            <v>NA</v>
          </cell>
          <cell r="G745">
            <v>38951.333333333336</v>
          </cell>
          <cell r="H745" t="str">
            <v>NA</v>
          </cell>
          <cell r="I745" t="str">
            <v>NA</v>
          </cell>
          <cell r="J745">
            <v>38959.729166666664</v>
          </cell>
          <cell r="K745" t="str">
            <v>NA</v>
          </cell>
          <cell r="L745">
            <v>0.17</v>
          </cell>
          <cell r="M745">
            <v>4</v>
          </cell>
          <cell r="N745">
            <v>0</v>
          </cell>
          <cell r="O745">
            <v>0</v>
          </cell>
          <cell r="P745">
            <v>0</v>
          </cell>
          <cell r="T745">
            <v>38959</v>
          </cell>
        </row>
        <row r="746">
          <cell r="D746" t="str">
            <v>Civil</v>
          </cell>
          <cell r="E746" t="str">
            <v>7 dias</v>
          </cell>
          <cell r="F746" t="str">
            <v>NA</v>
          </cell>
          <cell r="G746">
            <v>38951.333333333336</v>
          </cell>
          <cell r="H746" t="str">
            <v>NA</v>
          </cell>
          <cell r="I746" t="str">
            <v>NA</v>
          </cell>
          <cell r="J746">
            <v>38959.729166666664</v>
          </cell>
          <cell r="K746" t="str">
            <v>NA</v>
          </cell>
          <cell r="L746">
            <v>0.17</v>
          </cell>
          <cell r="M746">
            <v>4</v>
          </cell>
          <cell r="N746">
            <v>0</v>
          </cell>
          <cell r="O746">
            <v>0</v>
          </cell>
          <cell r="P746">
            <v>0</v>
          </cell>
          <cell r="T746">
            <v>38959</v>
          </cell>
        </row>
        <row r="747">
          <cell r="B747" t="str">
            <v>DC.590.DD.01</v>
          </cell>
          <cell r="D747" t="str">
            <v>Desenho De Detalhamento - Casas Populares</v>
          </cell>
          <cell r="E747" t="str">
            <v>7 dias</v>
          </cell>
          <cell r="F747" t="str">
            <v>NA</v>
          </cell>
          <cell r="G747">
            <v>38951.333333333336</v>
          </cell>
          <cell r="H747" t="str">
            <v>NA</v>
          </cell>
          <cell r="I747" t="str">
            <v>NA</v>
          </cell>
          <cell r="J747">
            <v>38959.729166666664</v>
          </cell>
          <cell r="K747" t="str">
            <v>NA</v>
          </cell>
          <cell r="L747">
            <v>0.17</v>
          </cell>
          <cell r="M747">
            <v>4</v>
          </cell>
          <cell r="N747">
            <v>0</v>
          </cell>
          <cell r="O747">
            <v>0</v>
          </cell>
          <cell r="P747">
            <v>0</v>
          </cell>
          <cell r="Q747" t="str">
            <v>16II+77 dias</v>
          </cell>
          <cell r="S747" t="str">
            <v>EQUIPE ARQ</v>
          </cell>
          <cell r="T747">
            <v>38959</v>
          </cell>
        </row>
      </sheetData>
      <sheetData sheetId="12" refreshError="1">
        <row r="3">
          <cell r="B3" t="str">
            <v>COD</v>
          </cell>
          <cell r="C3" t="str">
            <v>DESCRIÇÃO DO DOCUMENTO</v>
          </cell>
          <cell r="D3" t="str">
            <v>PROJ</v>
          </cell>
          <cell r="E3" t="str">
            <v>FORM</v>
          </cell>
          <cell r="F3" t="str">
            <v>Descrição Do Documento</v>
          </cell>
          <cell r="G3" t="str">
            <v>Cod</v>
          </cell>
          <cell r="H3" t="str">
            <v>Proj</v>
          </cell>
          <cell r="I3" t="str">
            <v>Form</v>
          </cell>
        </row>
        <row r="4">
          <cell r="B4" t="str">
            <v>AA</v>
          </cell>
          <cell r="C4" t="str">
            <v>AVALIAÇÃO</v>
          </cell>
          <cell r="F4" t="str">
            <v>Avaliação</v>
          </cell>
          <cell r="G4" t="str">
            <v>AA</v>
          </cell>
          <cell r="H4">
            <v>0</v>
          </cell>
          <cell r="I4">
            <v>0</v>
          </cell>
        </row>
        <row r="5">
          <cell r="B5" t="str">
            <v>AC</v>
          </cell>
          <cell r="C5" t="str">
            <v>RELATÓRIO DE AÇÃO CORRETIVA</v>
          </cell>
          <cell r="F5" t="str">
            <v>Relatório De Ação Corretiva</v>
          </cell>
          <cell r="G5" t="str">
            <v>AC</v>
          </cell>
          <cell r="H5">
            <v>0</v>
          </cell>
          <cell r="I5">
            <v>0</v>
          </cell>
        </row>
        <row r="6">
          <cell r="B6" t="str">
            <v>AD</v>
          </cell>
          <cell r="C6" t="str">
            <v>AUTORIZAÇÃO DE DESPESAS</v>
          </cell>
          <cell r="F6" t="str">
            <v>Autorização De Despesas</v>
          </cell>
          <cell r="G6" t="str">
            <v>AD</v>
          </cell>
          <cell r="H6">
            <v>0</v>
          </cell>
          <cell r="I6">
            <v>0</v>
          </cell>
        </row>
        <row r="7">
          <cell r="B7" t="str">
            <v>AF</v>
          </cell>
          <cell r="C7" t="str">
            <v>ANÁLISE COMPARATIVA DE AVANÇO FÍSICO / FINANCEIRO</v>
          </cell>
          <cell r="F7" t="str">
            <v>Análise Comparativa De Avanço Físico/ Financeiro</v>
          </cell>
          <cell r="G7" t="str">
            <v>AF</v>
          </cell>
          <cell r="H7">
            <v>0</v>
          </cell>
          <cell r="I7">
            <v>0</v>
          </cell>
        </row>
        <row r="8">
          <cell r="B8" t="str">
            <v>AG</v>
          </cell>
          <cell r="C8" t="str">
            <v>ALVARÁS E INSCRIÇÕES</v>
          </cell>
          <cell r="F8" t="str">
            <v>Alvarás E Inscrições</v>
          </cell>
          <cell r="G8" t="str">
            <v>AG</v>
          </cell>
          <cell r="H8">
            <v>0</v>
          </cell>
          <cell r="I8">
            <v>0</v>
          </cell>
        </row>
        <row r="9">
          <cell r="B9" t="str">
            <v>AJ</v>
          </cell>
          <cell r="C9" t="str">
            <v>ARRANJOS / LAYOUT’S / PLANO DIRETOR</v>
          </cell>
          <cell r="D9" t="str">
            <v>BAS</v>
          </cell>
          <cell r="E9" t="str">
            <v>DES</v>
          </cell>
          <cell r="F9" t="str">
            <v>Arranjos/ Layout’s/ Plano Diretor</v>
          </cell>
          <cell r="G9" t="str">
            <v>AJ</v>
          </cell>
          <cell r="H9" t="str">
            <v>BAS</v>
          </cell>
          <cell r="I9" t="str">
            <v>DES</v>
          </cell>
        </row>
        <row r="10">
          <cell r="B10" t="str">
            <v>AL</v>
          </cell>
          <cell r="C10" t="str">
            <v>RELATÓRIO DE ANÁLISE CRÍTICA</v>
          </cell>
          <cell r="F10" t="str">
            <v>Relatório De Análise Crítica</v>
          </cell>
          <cell r="G10" t="str">
            <v>AL</v>
          </cell>
          <cell r="H10">
            <v>0</v>
          </cell>
          <cell r="I10">
            <v>0</v>
          </cell>
        </row>
        <row r="11">
          <cell r="B11" t="str">
            <v>AP</v>
          </cell>
          <cell r="C11" t="str">
            <v>RELATÓRIO DE ALTERAÇÃO DE PROJETO</v>
          </cell>
          <cell r="D11" t="str">
            <v>DET</v>
          </cell>
          <cell r="E11" t="str">
            <v>DOC</v>
          </cell>
          <cell r="F11" t="str">
            <v>Relatório De Alteração De Projeto</v>
          </cell>
          <cell r="G11" t="str">
            <v>AP</v>
          </cell>
          <cell r="H11" t="str">
            <v>DET</v>
          </cell>
          <cell r="I11" t="str">
            <v>DOC</v>
          </cell>
        </row>
        <row r="12">
          <cell r="B12" t="str">
            <v>AR</v>
          </cell>
          <cell r="C12" t="str">
            <v>ATA DE REUNIÃO</v>
          </cell>
          <cell r="F12" t="str">
            <v>Ata De Reunião</v>
          </cell>
          <cell r="G12" t="str">
            <v>AR</v>
          </cell>
          <cell r="H12">
            <v>0</v>
          </cell>
          <cell r="I12">
            <v>0</v>
          </cell>
        </row>
        <row r="13">
          <cell r="B13" t="str">
            <v>AT</v>
          </cell>
          <cell r="C13" t="str">
            <v>ATESTADO</v>
          </cell>
          <cell r="F13" t="str">
            <v>Atestado</v>
          </cell>
          <cell r="G13" t="str">
            <v>AT</v>
          </cell>
          <cell r="H13">
            <v>0</v>
          </cell>
          <cell r="I13">
            <v>0</v>
          </cell>
        </row>
        <row r="14">
          <cell r="B14" t="str">
            <v>AU</v>
          </cell>
          <cell r="C14" t="str">
            <v>RELATÓRIO DE AUDITORIA</v>
          </cell>
          <cell r="F14" t="str">
            <v>Relatório De Auditoria</v>
          </cell>
          <cell r="G14" t="str">
            <v>AU</v>
          </cell>
          <cell r="H14">
            <v>0</v>
          </cell>
          <cell r="I14">
            <v>0</v>
          </cell>
        </row>
        <row r="15">
          <cell r="B15" t="str">
            <v>BC</v>
          </cell>
          <cell r="C15" t="str">
            <v>BOLETIM DE CAIXA</v>
          </cell>
          <cell r="F15" t="str">
            <v>Boletim De Caixa</v>
          </cell>
          <cell r="G15" t="str">
            <v>BC</v>
          </cell>
          <cell r="H15">
            <v>0</v>
          </cell>
          <cell r="I15">
            <v>0</v>
          </cell>
        </row>
        <row r="16">
          <cell r="B16" t="str">
            <v>BD</v>
          </cell>
          <cell r="C16" t="str">
            <v>BANCO DE DADOS</v>
          </cell>
          <cell r="F16" t="str">
            <v>Banco De Dados</v>
          </cell>
          <cell r="G16" t="str">
            <v>BD</v>
          </cell>
          <cell r="H16">
            <v>0</v>
          </cell>
          <cell r="I16">
            <v>0</v>
          </cell>
        </row>
        <row r="17">
          <cell r="B17" t="str">
            <v>BF</v>
          </cell>
          <cell r="C17" t="str">
            <v>BENEFÍCIOS</v>
          </cell>
          <cell r="F17" t="str">
            <v>Benefícios</v>
          </cell>
          <cell r="G17" t="str">
            <v>BF</v>
          </cell>
          <cell r="H17">
            <v>0</v>
          </cell>
          <cell r="I17">
            <v>0</v>
          </cell>
        </row>
        <row r="18">
          <cell r="B18" t="str">
            <v>BL</v>
          </cell>
          <cell r="C18" t="str">
            <v>BALANÇO DE MASSAS</v>
          </cell>
          <cell r="D18" t="str">
            <v>BAS</v>
          </cell>
          <cell r="E18" t="str">
            <v>DES</v>
          </cell>
          <cell r="F18" t="str">
            <v>Balanço De Massas</v>
          </cell>
          <cell r="G18" t="str">
            <v>BL</v>
          </cell>
          <cell r="H18" t="str">
            <v>BAS</v>
          </cell>
          <cell r="I18" t="str">
            <v>DES</v>
          </cell>
        </row>
        <row r="19">
          <cell r="B19" t="str">
            <v>BM</v>
          </cell>
          <cell r="C19" t="str">
            <v>BOLETIM DE MEDIÇÃO</v>
          </cell>
          <cell r="F19" t="str">
            <v>Boletim De Medição</v>
          </cell>
          <cell r="G19" t="str">
            <v>BM</v>
          </cell>
          <cell r="H19">
            <v>0</v>
          </cell>
          <cell r="I19">
            <v>0</v>
          </cell>
        </row>
        <row r="20">
          <cell r="B20" t="str">
            <v>BS</v>
          </cell>
          <cell r="C20" t="str">
            <v>BOLETIM DE ACOMPANHAMENTO DE SERVIÇOS</v>
          </cell>
          <cell r="F20" t="str">
            <v>Boletim De Acompanhamento De Serviços</v>
          </cell>
          <cell r="G20" t="str">
            <v>BS</v>
          </cell>
          <cell r="H20">
            <v>0</v>
          </cell>
          <cell r="I20">
            <v>0</v>
          </cell>
        </row>
        <row r="21">
          <cell r="B21" t="str">
            <v>BU</v>
          </cell>
          <cell r="C21" t="str">
            <v>BALANÇO DE UTILIDADES</v>
          </cell>
          <cell r="D21" t="str">
            <v>BAS</v>
          </cell>
          <cell r="E21" t="str">
            <v>DES</v>
          </cell>
          <cell r="F21" t="str">
            <v>Balanço De Utilidades</v>
          </cell>
          <cell r="G21" t="str">
            <v>BU</v>
          </cell>
          <cell r="H21" t="str">
            <v>BAS</v>
          </cell>
          <cell r="I21" t="str">
            <v>DES</v>
          </cell>
        </row>
        <row r="22">
          <cell r="B22" t="str">
            <v>CA</v>
          </cell>
          <cell r="C22" t="str">
            <v>CARTA</v>
          </cell>
          <cell r="F22" t="str">
            <v>Carta</v>
          </cell>
          <cell r="G22" t="str">
            <v>CA</v>
          </cell>
          <cell r="H22">
            <v>0</v>
          </cell>
          <cell r="I22">
            <v>0</v>
          </cell>
        </row>
        <row r="23">
          <cell r="B23" t="str">
            <v>CE</v>
          </cell>
          <cell r="C23" t="str">
            <v>CONFIRMAÇÃO DE ENTENDIMENTO TELEFÔNICO</v>
          </cell>
          <cell r="F23" t="str">
            <v>Confirmação De Entendimento Telefônico</v>
          </cell>
          <cell r="G23" t="str">
            <v>CE</v>
          </cell>
          <cell r="H23">
            <v>0</v>
          </cell>
          <cell r="I23">
            <v>0</v>
          </cell>
        </row>
        <row r="24">
          <cell r="B24" t="str">
            <v>CF</v>
          </cell>
          <cell r="C24" t="str">
            <v>CADASTRO DE FORNECEDORES</v>
          </cell>
          <cell r="F24" t="str">
            <v>Cadastro De Fornecedores</v>
          </cell>
          <cell r="G24" t="str">
            <v>CF</v>
          </cell>
          <cell r="H24">
            <v>0</v>
          </cell>
          <cell r="I24">
            <v>0</v>
          </cell>
        </row>
        <row r="25">
          <cell r="B25" t="str">
            <v>CH</v>
          </cell>
          <cell r="C25" t="str">
            <v>CIPA/ ACIDENTE DO TRABALHO</v>
          </cell>
          <cell r="F25" t="str">
            <v>Cipa/ Acidente Do Trabalho</v>
          </cell>
          <cell r="G25" t="str">
            <v>CH</v>
          </cell>
          <cell r="H25">
            <v>0</v>
          </cell>
          <cell r="I25">
            <v>0</v>
          </cell>
        </row>
        <row r="26">
          <cell r="B26" t="str">
            <v>CI</v>
          </cell>
          <cell r="C26" t="str">
            <v>CORRESPONDÊNCIA INTERNA</v>
          </cell>
          <cell r="F26" t="str">
            <v>Correspondência Interna</v>
          </cell>
          <cell r="G26" t="str">
            <v>CI</v>
          </cell>
          <cell r="H26">
            <v>0</v>
          </cell>
          <cell r="I26">
            <v>0</v>
          </cell>
        </row>
        <row r="27">
          <cell r="B27" t="str">
            <v>CM</v>
          </cell>
          <cell r="C27" t="str">
            <v>CRITÉRIO DE MEDIÇÃO DE SERVIÇO</v>
          </cell>
          <cell r="D27" t="str">
            <v>BAS</v>
          </cell>
          <cell r="E27" t="str">
            <v>DOC</v>
          </cell>
          <cell r="F27" t="str">
            <v>Critério De Medição De Serviço</v>
          </cell>
          <cell r="G27" t="str">
            <v>CM</v>
          </cell>
          <cell r="H27" t="str">
            <v>BAS</v>
          </cell>
          <cell r="I27" t="str">
            <v>DOC</v>
          </cell>
        </row>
        <row r="28">
          <cell r="B28" t="str">
            <v>CN</v>
          </cell>
          <cell r="C28" t="str">
            <v>COMUNICAÇÃO DE NÃO CONFORMIDADE</v>
          </cell>
          <cell r="F28" t="str">
            <v>Comunicação De Não Conformidade</v>
          </cell>
          <cell r="G28" t="str">
            <v>CN</v>
          </cell>
          <cell r="H28">
            <v>0</v>
          </cell>
          <cell r="I28">
            <v>0</v>
          </cell>
        </row>
        <row r="29">
          <cell r="B29" t="str">
            <v>CP</v>
          </cell>
          <cell r="C29" t="str">
            <v>CRITÉRIO DE PROJETO</v>
          </cell>
          <cell r="D29" t="str">
            <v>BAS</v>
          </cell>
          <cell r="E29" t="str">
            <v>DOC</v>
          </cell>
          <cell r="F29" t="str">
            <v>Critério De Projeto</v>
          </cell>
          <cell r="G29" t="str">
            <v>CP</v>
          </cell>
          <cell r="H29" t="str">
            <v>BAS</v>
          </cell>
          <cell r="I29" t="str">
            <v>DOC</v>
          </cell>
        </row>
        <row r="30">
          <cell r="B30" t="str">
            <v>CR</v>
          </cell>
          <cell r="C30" t="str">
            <v>CRONOGRAMA</v>
          </cell>
          <cell r="F30" t="str">
            <v>Cronograma</v>
          </cell>
          <cell r="G30" t="str">
            <v>CR</v>
          </cell>
          <cell r="H30">
            <v>0</v>
          </cell>
          <cell r="I30">
            <v>0</v>
          </cell>
        </row>
        <row r="31">
          <cell r="B31" t="str">
            <v>CT</v>
          </cell>
          <cell r="C31" t="str">
            <v>CONTRATO</v>
          </cell>
          <cell r="F31" t="str">
            <v>Contrato</v>
          </cell>
          <cell r="G31" t="str">
            <v>CT</v>
          </cell>
          <cell r="H31">
            <v>0</v>
          </cell>
          <cell r="I31">
            <v>0</v>
          </cell>
        </row>
        <row r="32">
          <cell r="B32" t="str">
            <v>CT</v>
          </cell>
          <cell r="C32" t="str">
            <v>CONTRATO</v>
          </cell>
          <cell r="F32" t="str">
            <v>Contrato</v>
          </cell>
          <cell r="G32" t="str">
            <v>CT</v>
          </cell>
          <cell r="H32">
            <v>0</v>
          </cell>
          <cell r="I32">
            <v>0</v>
          </cell>
        </row>
        <row r="33">
          <cell r="B33" t="str">
            <v>DA</v>
          </cell>
          <cell r="C33" t="str">
            <v>DESCRIÇÃO E ANÁLISE DE CARGOS</v>
          </cell>
          <cell r="F33" t="str">
            <v>Descrição E Análise De Cargos</v>
          </cell>
          <cell r="G33" t="str">
            <v>DA</v>
          </cell>
          <cell r="H33">
            <v>0</v>
          </cell>
          <cell r="I33">
            <v>0</v>
          </cell>
        </row>
        <row r="34">
          <cell r="B34" t="str">
            <v>DB</v>
          </cell>
          <cell r="C34" t="str">
            <v>DESENHO BÁSICO</v>
          </cell>
          <cell r="D34" t="str">
            <v>BAS</v>
          </cell>
          <cell r="E34" t="str">
            <v>DES</v>
          </cell>
          <cell r="F34" t="str">
            <v>Desenho Básico</v>
          </cell>
          <cell r="G34" t="str">
            <v>DB</v>
          </cell>
          <cell r="H34" t="str">
            <v>BAS</v>
          </cell>
          <cell r="I34" t="str">
            <v>DES</v>
          </cell>
        </row>
        <row r="35">
          <cell r="B35" t="str">
            <v>DC</v>
          </cell>
          <cell r="C35" t="str">
            <v>DOSSIÊ PARCEIROS / CLIENTES / FORNECEDORES</v>
          </cell>
          <cell r="F35" t="str">
            <v>Dossiê Parceiros/ Clientes/ Fornecedores</v>
          </cell>
          <cell r="G35" t="str">
            <v>DC</v>
          </cell>
          <cell r="H35">
            <v>0</v>
          </cell>
          <cell r="I35">
            <v>0</v>
          </cell>
        </row>
        <row r="36">
          <cell r="B36" t="str">
            <v>DD</v>
          </cell>
          <cell r="C36" t="str">
            <v>DESENHO DE DETALHAMENTO</v>
          </cell>
          <cell r="D36" t="str">
            <v>DET</v>
          </cell>
          <cell r="E36" t="str">
            <v>DES</v>
          </cell>
          <cell r="F36" t="str">
            <v>Desenho De Detalhamento</v>
          </cell>
          <cell r="G36" t="str">
            <v>DD</v>
          </cell>
          <cell r="H36" t="str">
            <v>DET</v>
          </cell>
          <cell r="I36" t="str">
            <v>DES</v>
          </cell>
        </row>
        <row r="37">
          <cell r="B37" t="str">
            <v>DE</v>
          </cell>
          <cell r="C37" t="str">
            <v>DETALHES TÍPICOS</v>
          </cell>
          <cell r="D37" t="str">
            <v>DET</v>
          </cell>
          <cell r="E37" t="str">
            <v>DES</v>
          </cell>
          <cell r="F37" t="str">
            <v>Detalhes Típicos</v>
          </cell>
          <cell r="G37" t="str">
            <v>DE</v>
          </cell>
          <cell r="H37" t="str">
            <v>DET</v>
          </cell>
          <cell r="I37" t="str">
            <v>DES</v>
          </cell>
        </row>
        <row r="38">
          <cell r="B38" t="str">
            <v>DF</v>
          </cell>
          <cell r="C38" t="str">
            <v>DIAGRAMA FUNCIONAL</v>
          </cell>
          <cell r="D38" t="str">
            <v>DET</v>
          </cell>
          <cell r="E38" t="str">
            <v>DES</v>
          </cell>
          <cell r="F38" t="str">
            <v>Diagrama Funcional</v>
          </cell>
          <cell r="G38" t="str">
            <v>DF</v>
          </cell>
          <cell r="H38" t="str">
            <v>DET</v>
          </cell>
          <cell r="I38" t="str">
            <v>DES</v>
          </cell>
        </row>
        <row r="39">
          <cell r="B39" t="str">
            <v>DH</v>
          </cell>
          <cell r="C39" t="str">
            <v>DIAGRAMA DE MALHA (INSTRUMENTAÇÃO)</v>
          </cell>
          <cell r="D39" t="str">
            <v>BAS</v>
          </cell>
          <cell r="E39" t="str">
            <v>DES</v>
          </cell>
          <cell r="F39" t="str">
            <v>Diagrama De Malha (Instrumentação)</v>
          </cell>
          <cell r="G39" t="str">
            <v>DH</v>
          </cell>
          <cell r="H39" t="str">
            <v>BAS</v>
          </cell>
          <cell r="I39" t="str">
            <v>DES</v>
          </cell>
        </row>
        <row r="40">
          <cell r="B40" t="str">
            <v>DI</v>
          </cell>
          <cell r="C40" t="str">
            <v>DIAGRAMA DE INTERLIGAÇÃO</v>
          </cell>
          <cell r="D40" t="str">
            <v>DET</v>
          </cell>
          <cell r="E40" t="str">
            <v>DES</v>
          </cell>
          <cell r="F40" t="str">
            <v>Diagrama De Interligação</v>
          </cell>
          <cell r="G40" t="str">
            <v>DI</v>
          </cell>
          <cell r="H40" t="str">
            <v>DET</v>
          </cell>
          <cell r="I40" t="str">
            <v>DES</v>
          </cell>
        </row>
        <row r="41">
          <cell r="B41" t="str">
            <v>DL</v>
          </cell>
          <cell r="C41" t="str">
            <v>DIAGRAMA LÓGICO</v>
          </cell>
          <cell r="D41" t="str">
            <v>BAS</v>
          </cell>
          <cell r="E41" t="str">
            <v>DES</v>
          </cell>
          <cell r="F41" t="str">
            <v>Diagrama Lógico</v>
          </cell>
          <cell r="G41" t="str">
            <v>DL</v>
          </cell>
          <cell r="H41" t="str">
            <v>BAS</v>
          </cell>
          <cell r="I41" t="str">
            <v>DES</v>
          </cell>
        </row>
        <row r="42">
          <cell r="B42" t="str">
            <v>DM</v>
          </cell>
          <cell r="C42" t="str">
            <v>DIAGRAMA DE MONTAGEM</v>
          </cell>
          <cell r="D42" t="str">
            <v>DET</v>
          </cell>
          <cell r="E42" t="str">
            <v>DES</v>
          </cell>
          <cell r="F42" t="str">
            <v>Diagrama De Montagem</v>
          </cell>
          <cell r="G42" t="str">
            <v>DM</v>
          </cell>
          <cell r="H42" t="str">
            <v>DET</v>
          </cell>
          <cell r="I42" t="str">
            <v>DES</v>
          </cell>
        </row>
        <row r="43">
          <cell r="B43" t="str">
            <v>DP</v>
          </cell>
          <cell r="C43" t="str">
            <v>DESENHO DE PROJETO</v>
          </cell>
          <cell r="D43" t="str">
            <v>BAS</v>
          </cell>
          <cell r="E43" t="str">
            <v>DES</v>
          </cell>
          <cell r="F43" t="str">
            <v>Desenho De Projeto</v>
          </cell>
          <cell r="G43" t="str">
            <v>DP</v>
          </cell>
          <cell r="H43" t="str">
            <v>BAS</v>
          </cell>
          <cell r="I43" t="str">
            <v>DES</v>
          </cell>
        </row>
        <row r="44">
          <cell r="B44" t="str">
            <v>DT</v>
          </cell>
          <cell r="C44" t="str">
            <v>DIAGRAMA TRIFILAR</v>
          </cell>
          <cell r="D44" t="str">
            <v>DET</v>
          </cell>
          <cell r="E44" t="str">
            <v>DES</v>
          </cell>
          <cell r="F44" t="str">
            <v>Diagrama Trifilar</v>
          </cell>
          <cell r="G44" t="str">
            <v>DT</v>
          </cell>
          <cell r="H44" t="str">
            <v>DET</v>
          </cell>
          <cell r="I44" t="str">
            <v>DES</v>
          </cell>
        </row>
        <row r="45">
          <cell r="B45" t="str">
            <v>DU</v>
          </cell>
          <cell r="C45" t="str">
            <v>DIAGRAMA UNIFILAR</v>
          </cell>
          <cell r="D45" t="str">
            <v>DET</v>
          </cell>
          <cell r="E45" t="str">
            <v>DES</v>
          </cell>
          <cell r="F45" t="str">
            <v>Diagrama Unifilar</v>
          </cell>
          <cell r="G45" t="str">
            <v>DU</v>
          </cell>
          <cell r="H45" t="str">
            <v>DET</v>
          </cell>
          <cell r="I45" t="str">
            <v>DES</v>
          </cell>
        </row>
        <row r="46">
          <cell r="B46" t="str">
            <v>DV</v>
          </cell>
          <cell r="C46" t="str">
            <v>DIVERSOS</v>
          </cell>
          <cell r="F46" t="str">
            <v>Diversos</v>
          </cell>
          <cell r="G46" t="str">
            <v>DV</v>
          </cell>
          <cell r="H46">
            <v>0</v>
          </cell>
          <cell r="I46">
            <v>0</v>
          </cell>
        </row>
        <row r="47">
          <cell r="B47" t="str">
            <v>EA</v>
          </cell>
          <cell r="C47" t="str">
            <v>ESTRUTURA ANALÍTICA DE PROJETO – EAP</v>
          </cell>
          <cell r="F47" t="str">
            <v>Estrutura Analítica De Projeto – Eap</v>
          </cell>
          <cell r="G47" t="str">
            <v>EA</v>
          </cell>
          <cell r="H47">
            <v>0</v>
          </cell>
          <cell r="I47">
            <v>0</v>
          </cell>
        </row>
        <row r="48">
          <cell r="B48" t="str">
            <v>ED</v>
          </cell>
          <cell r="C48" t="str">
            <v>ESTUDOS / PLANOS</v>
          </cell>
          <cell r="D48" t="str">
            <v>BAS</v>
          </cell>
          <cell r="E48" t="str">
            <v>DOC</v>
          </cell>
          <cell r="F48" t="str">
            <v>Estudos / Planos</v>
          </cell>
          <cell r="G48" t="str">
            <v>ED</v>
          </cell>
          <cell r="H48" t="str">
            <v>BAS</v>
          </cell>
          <cell r="I48" t="str">
            <v>DOC</v>
          </cell>
        </row>
        <row r="49">
          <cell r="B49" t="str">
            <v>EM</v>
          </cell>
          <cell r="C49" t="str">
            <v>E-MAIL</v>
          </cell>
          <cell r="F49" t="str">
            <v>E-Mail</v>
          </cell>
          <cell r="G49" t="str">
            <v>EM</v>
          </cell>
          <cell r="H49">
            <v>0</v>
          </cell>
          <cell r="I49">
            <v>0</v>
          </cell>
        </row>
        <row r="50">
          <cell r="B50" t="str">
            <v>ES</v>
          </cell>
          <cell r="C50" t="str">
            <v>RELAÇÃO DE ENTRADAS / SAÍDAS</v>
          </cell>
          <cell r="D50" t="str">
            <v>DET</v>
          </cell>
          <cell r="E50" t="str">
            <v>DES</v>
          </cell>
          <cell r="F50" t="str">
            <v>Relação De Entradas/ Saídas</v>
          </cell>
          <cell r="G50" t="str">
            <v>ES</v>
          </cell>
          <cell r="H50" t="str">
            <v>DET</v>
          </cell>
          <cell r="I50" t="str">
            <v>DES</v>
          </cell>
        </row>
        <row r="51">
          <cell r="B51" t="str">
            <v>ET</v>
          </cell>
          <cell r="C51" t="str">
            <v>ESPECIFICAÇÃO TÉCNICA</v>
          </cell>
          <cell r="D51" t="str">
            <v>BAS</v>
          </cell>
          <cell r="E51" t="str">
            <v>DOC</v>
          </cell>
          <cell r="F51" t="str">
            <v>Especificação Técnica</v>
          </cell>
          <cell r="G51" t="str">
            <v>ET</v>
          </cell>
          <cell r="H51" t="str">
            <v>BAS</v>
          </cell>
          <cell r="I51" t="str">
            <v>DOC</v>
          </cell>
        </row>
        <row r="52">
          <cell r="B52" t="str">
            <v>EX</v>
          </cell>
          <cell r="C52" t="str">
            <v>PROGRAMA EXECUTÁVEL</v>
          </cell>
          <cell r="F52" t="str">
            <v>Programa Executável</v>
          </cell>
          <cell r="G52" t="str">
            <v>EX</v>
          </cell>
          <cell r="H52">
            <v>0</v>
          </cell>
          <cell r="I52">
            <v>0</v>
          </cell>
        </row>
        <row r="53">
          <cell r="B53" t="str">
            <v>FA</v>
          </cell>
          <cell r="C53" t="str">
            <v>FICHA DE ALTERAÇÃO DE FUNÇÃO E SALÁRIO (FAFS)</v>
          </cell>
          <cell r="F53" t="str">
            <v>Ficha De Alteração De Função E Salário (Fafs)</v>
          </cell>
          <cell r="G53" t="str">
            <v>FA</v>
          </cell>
          <cell r="H53">
            <v>0</v>
          </cell>
          <cell r="I53">
            <v>0</v>
          </cell>
        </row>
        <row r="54">
          <cell r="B54" t="str">
            <v>FD</v>
          </cell>
          <cell r="C54" t="str">
            <v>FOLHA DE DADOS</v>
          </cell>
          <cell r="D54" t="str">
            <v>BAS</v>
          </cell>
          <cell r="E54" t="str">
            <v>DOC</v>
          </cell>
          <cell r="F54" t="str">
            <v>Folha De Dados</v>
          </cell>
          <cell r="G54" t="str">
            <v>FD</v>
          </cell>
          <cell r="H54" t="str">
            <v>BAS</v>
          </cell>
          <cell r="I54" t="str">
            <v>DOC</v>
          </cell>
        </row>
        <row r="55">
          <cell r="B55" t="str">
            <v>FE</v>
          </cell>
          <cell r="C55" t="str">
            <v>FLUXOGRAMA DE ENGENHARIA</v>
          </cell>
          <cell r="D55" t="str">
            <v>BAS</v>
          </cell>
          <cell r="E55" t="str">
            <v>DES</v>
          </cell>
          <cell r="F55" t="str">
            <v>Fluxograma De Engenharia</v>
          </cell>
          <cell r="G55" t="str">
            <v>FE</v>
          </cell>
          <cell r="H55" t="str">
            <v>BAS</v>
          </cell>
          <cell r="I55" t="str">
            <v>DES</v>
          </cell>
        </row>
        <row r="56">
          <cell r="B56" t="str">
            <v>FG</v>
          </cell>
          <cell r="C56" t="str">
            <v>FLUXOGRAMA (GERAL)</v>
          </cell>
          <cell r="D56" t="str">
            <v>BAS</v>
          </cell>
          <cell r="E56" t="str">
            <v>DES</v>
          </cell>
          <cell r="F56" t="str">
            <v>Fluxograma (Geral)</v>
          </cell>
          <cell r="G56" t="str">
            <v>FG</v>
          </cell>
          <cell r="H56" t="str">
            <v>BAS</v>
          </cell>
          <cell r="I56" t="str">
            <v>DES</v>
          </cell>
        </row>
        <row r="57">
          <cell r="B57" t="str">
            <v>FL</v>
          </cell>
          <cell r="C57" t="str">
            <v>RELATÓRIO FLUXO DE CAIXA</v>
          </cell>
          <cell r="F57" t="str">
            <v>Relatório Fluxo De Caixa</v>
          </cell>
          <cell r="G57" t="str">
            <v>FL</v>
          </cell>
          <cell r="H57">
            <v>0</v>
          </cell>
          <cell r="I57">
            <v>0</v>
          </cell>
        </row>
        <row r="58">
          <cell r="B58" t="str">
            <v>FO</v>
          </cell>
          <cell r="C58" t="str">
            <v>PROGRAMA FONTE</v>
          </cell>
          <cell r="F58" t="str">
            <v>Programa Fonte</v>
          </cell>
          <cell r="G58" t="str">
            <v>FO</v>
          </cell>
          <cell r="H58">
            <v>0</v>
          </cell>
          <cell r="I58">
            <v>0</v>
          </cell>
        </row>
        <row r="59">
          <cell r="B59" t="str">
            <v>FP</v>
          </cell>
          <cell r="C59" t="str">
            <v>FLUXOGRAMA DE PROCESSO</v>
          </cell>
          <cell r="D59" t="str">
            <v>BAS</v>
          </cell>
          <cell r="E59" t="str">
            <v>DES</v>
          </cell>
          <cell r="F59" t="str">
            <v>Fluxograma De Processo</v>
          </cell>
          <cell r="G59" t="str">
            <v>FP</v>
          </cell>
          <cell r="H59" t="str">
            <v>BAS</v>
          </cell>
          <cell r="I59" t="str">
            <v>DES</v>
          </cell>
        </row>
        <row r="60">
          <cell r="B60" t="str">
            <v>FT</v>
          </cell>
          <cell r="C60" t="str">
            <v>FATURAS / NOTAS FISCAIS</v>
          </cell>
          <cell r="F60" t="str">
            <v>Faturas/ Notas Fiscais</v>
          </cell>
          <cell r="G60" t="str">
            <v>FT</v>
          </cell>
          <cell r="H60">
            <v>0</v>
          </cell>
          <cell r="I60">
            <v>0</v>
          </cell>
        </row>
        <row r="61">
          <cell r="B61" t="str">
            <v>FX</v>
          </cell>
          <cell r="C61" t="str">
            <v>FAX</v>
          </cell>
          <cell r="F61" t="str">
            <v>Fax</v>
          </cell>
          <cell r="G61" t="str">
            <v>FX</v>
          </cell>
          <cell r="H61">
            <v>0</v>
          </cell>
          <cell r="I61">
            <v>0</v>
          </cell>
        </row>
        <row r="62">
          <cell r="B62" t="str">
            <v>GF</v>
          </cell>
          <cell r="C62" t="str">
            <v>GRÁFICO</v>
          </cell>
          <cell r="F62" t="str">
            <v>Gráfico</v>
          </cell>
          <cell r="G62" t="str">
            <v>GF</v>
          </cell>
          <cell r="H62">
            <v>0</v>
          </cell>
          <cell r="I62">
            <v>0</v>
          </cell>
        </row>
        <row r="63">
          <cell r="B63" t="str">
            <v>GR</v>
          </cell>
          <cell r="C63" t="str">
            <v>GUIA DE REMESSA DE DOCUMENTOS</v>
          </cell>
          <cell r="F63" t="str">
            <v>Guia De Remessa De Documentos</v>
          </cell>
          <cell r="G63" t="str">
            <v>GR</v>
          </cell>
          <cell r="H63">
            <v>0</v>
          </cell>
          <cell r="I63">
            <v>0</v>
          </cell>
        </row>
        <row r="64">
          <cell r="B64" t="str">
            <v>HI</v>
          </cell>
          <cell r="C64" t="str">
            <v>HISTOGRAMA</v>
          </cell>
          <cell r="F64" t="str">
            <v>Histograma</v>
          </cell>
          <cell r="G64" t="str">
            <v>HI</v>
          </cell>
          <cell r="H64">
            <v>0</v>
          </cell>
          <cell r="I64">
            <v>0</v>
          </cell>
        </row>
        <row r="65">
          <cell r="B65" t="str">
            <v>HW</v>
          </cell>
          <cell r="C65" t="str">
            <v>FICHA DE HARDWARE</v>
          </cell>
          <cell r="F65" t="str">
            <v>Ficha De Hardware</v>
          </cell>
          <cell r="G65" t="str">
            <v>HW</v>
          </cell>
          <cell r="H65">
            <v>0</v>
          </cell>
          <cell r="I65">
            <v>0</v>
          </cell>
        </row>
        <row r="66">
          <cell r="B66" t="str">
            <v>IN</v>
          </cell>
          <cell r="C66" t="str">
            <v>CONTRATO SOCIAL E ALTERAÇÕES</v>
          </cell>
          <cell r="F66" t="str">
            <v>Contrato Social E Alterações</v>
          </cell>
          <cell r="G66" t="str">
            <v>IN</v>
          </cell>
          <cell r="H66">
            <v>0</v>
          </cell>
          <cell r="I66">
            <v>0</v>
          </cell>
        </row>
        <row r="67">
          <cell r="B67" t="str">
            <v>IS</v>
          </cell>
          <cell r="C67" t="str">
            <v>ISOMÉTRICO</v>
          </cell>
          <cell r="D67" t="str">
            <v>DET</v>
          </cell>
          <cell r="E67" t="str">
            <v>DES</v>
          </cell>
          <cell r="F67" t="str">
            <v>Isométrico</v>
          </cell>
          <cell r="G67" t="str">
            <v>IS</v>
          </cell>
          <cell r="H67" t="str">
            <v>DET</v>
          </cell>
          <cell r="I67" t="str">
            <v>DES</v>
          </cell>
        </row>
        <row r="68">
          <cell r="B68" t="str">
            <v>IT</v>
          </cell>
          <cell r="C68" t="str">
            <v>INSTRUÇÃO DE TRABALHO</v>
          </cell>
          <cell r="F68" t="str">
            <v>Instrução De Trabalho</v>
          </cell>
          <cell r="G68" t="str">
            <v>IT</v>
          </cell>
          <cell r="H68">
            <v>0</v>
          </cell>
          <cell r="I68">
            <v>0</v>
          </cell>
        </row>
        <row r="69">
          <cell r="B69" t="str">
            <v>LC</v>
          </cell>
          <cell r="C69" t="str">
            <v>LISTA DE LINHAS / CABOS</v>
          </cell>
          <cell r="D69" t="str">
            <v>DET</v>
          </cell>
          <cell r="E69" t="str">
            <v>DOC</v>
          </cell>
          <cell r="F69" t="str">
            <v>Lista De Linhas/ Cabos</v>
          </cell>
          <cell r="G69" t="str">
            <v>LC</v>
          </cell>
          <cell r="H69" t="str">
            <v>DET</v>
          </cell>
          <cell r="I69" t="str">
            <v>DOC</v>
          </cell>
        </row>
        <row r="70">
          <cell r="B70" t="str">
            <v>LD</v>
          </cell>
          <cell r="C70" t="str">
            <v>LISTA DE DOCUMENTOS</v>
          </cell>
          <cell r="F70" t="str">
            <v>Lista De Documentos</v>
          </cell>
          <cell r="G70" t="str">
            <v>LD</v>
          </cell>
          <cell r="H70">
            <v>0</v>
          </cell>
          <cell r="I70">
            <v>0</v>
          </cell>
        </row>
        <row r="71">
          <cell r="B71" t="str">
            <v>LE</v>
          </cell>
          <cell r="C71" t="str">
            <v>LISTA DE EQUIPAMENTOS / INSTRUMENTOS</v>
          </cell>
          <cell r="D71" t="str">
            <v>BAS</v>
          </cell>
          <cell r="E71" t="str">
            <v>DOC</v>
          </cell>
          <cell r="F71" t="str">
            <v>Lista De Equipamentos / Instrumentos</v>
          </cell>
          <cell r="G71" t="str">
            <v>LE</v>
          </cell>
          <cell r="H71" t="str">
            <v>BAS</v>
          </cell>
          <cell r="I71" t="str">
            <v>DOC</v>
          </cell>
        </row>
        <row r="72">
          <cell r="B72" t="str">
            <v>LF</v>
          </cell>
          <cell r="C72" t="str">
            <v>LISTA DE FERROS</v>
          </cell>
          <cell r="D72" t="str">
            <v>DET</v>
          </cell>
          <cell r="E72" t="str">
            <v>DOC</v>
          </cell>
          <cell r="F72" t="str">
            <v>Lista De Ferros</v>
          </cell>
          <cell r="G72" t="str">
            <v>LF</v>
          </cell>
          <cell r="H72" t="str">
            <v>DET</v>
          </cell>
          <cell r="I72" t="str">
            <v>DOC</v>
          </cell>
        </row>
        <row r="73">
          <cell r="B73" t="str">
            <v>LM</v>
          </cell>
          <cell r="C73" t="str">
            <v>LISTA DE MATERIAIS</v>
          </cell>
          <cell r="D73" t="str">
            <v>DET</v>
          </cell>
          <cell r="E73" t="str">
            <v>DOC</v>
          </cell>
          <cell r="F73" t="str">
            <v>Lista De Materiais</v>
          </cell>
          <cell r="G73" t="str">
            <v>LM</v>
          </cell>
          <cell r="H73" t="str">
            <v>DET</v>
          </cell>
          <cell r="I73" t="str">
            <v>DOC</v>
          </cell>
        </row>
        <row r="74">
          <cell r="B74" t="str">
            <v>LO</v>
          </cell>
          <cell r="C74" t="str">
            <v>LISTA DE DESPACHO</v>
          </cell>
          <cell r="F74" t="str">
            <v>Lista De Despacho</v>
          </cell>
          <cell r="G74" t="str">
            <v>LO</v>
          </cell>
          <cell r="H74">
            <v>0</v>
          </cell>
          <cell r="I74">
            <v>0</v>
          </cell>
        </row>
        <row r="75">
          <cell r="B75" t="str">
            <v>LP</v>
          </cell>
          <cell r="C75" t="str">
            <v>LISTA DE PENDÊNCIAS</v>
          </cell>
          <cell r="F75" t="str">
            <v>Lista De Pendências</v>
          </cell>
          <cell r="G75" t="str">
            <v>LP</v>
          </cell>
          <cell r="H75">
            <v>0</v>
          </cell>
          <cell r="I75">
            <v>0</v>
          </cell>
        </row>
        <row r="76">
          <cell r="B76" t="str">
            <v>LV</v>
          </cell>
          <cell r="C76" t="str">
            <v>LISTA DE VERIFICAÇÃO</v>
          </cell>
          <cell r="F76" t="str">
            <v>Lista De Verificação</v>
          </cell>
          <cell r="G76" t="str">
            <v>LV</v>
          </cell>
          <cell r="H76">
            <v>0</v>
          </cell>
          <cell r="I76">
            <v>0</v>
          </cell>
        </row>
        <row r="77">
          <cell r="B77" t="str">
            <v>MB</v>
          </cell>
          <cell r="C77" t="str">
            <v>MEDIÇÃO / NOTA DE DÉBITO</v>
          </cell>
          <cell r="F77" t="str">
            <v>Medição/ Nota De Débito</v>
          </cell>
          <cell r="G77" t="str">
            <v>MB</v>
          </cell>
          <cell r="H77">
            <v>0</v>
          </cell>
          <cell r="I77">
            <v>0</v>
          </cell>
        </row>
        <row r="78">
          <cell r="B78" t="str">
            <v>MC</v>
          </cell>
          <cell r="C78" t="str">
            <v>MEMÓRIA DE CÁLCULO</v>
          </cell>
          <cell r="D78" t="str">
            <v>DET</v>
          </cell>
          <cell r="E78" t="str">
            <v>DOC</v>
          </cell>
          <cell r="F78" t="str">
            <v>Memória De Cálculo</v>
          </cell>
          <cell r="G78" t="str">
            <v>MC</v>
          </cell>
          <cell r="H78" t="str">
            <v>DET</v>
          </cell>
          <cell r="I78" t="str">
            <v>DOC</v>
          </cell>
        </row>
        <row r="79">
          <cell r="B79" t="str">
            <v>MD</v>
          </cell>
          <cell r="C79" t="str">
            <v>MEMORIAL DESCRITIVO</v>
          </cell>
          <cell r="D79" t="str">
            <v>BAS</v>
          </cell>
          <cell r="E79" t="str">
            <v>DOC</v>
          </cell>
          <cell r="F79" t="str">
            <v>Memorial Descritivo</v>
          </cell>
          <cell r="G79" t="str">
            <v>MD</v>
          </cell>
          <cell r="H79" t="str">
            <v>BAS</v>
          </cell>
          <cell r="I79" t="str">
            <v>DOC</v>
          </cell>
        </row>
        <row r="80">
          <cell r="B80" t="str">
            <v>ME</v>
          </cell>
          <cell r="C80" t="str">
            <v>MUDANÇA DE ESCOPO</v>
          </cell>
          <cell r="F80" t="str">
            <v>Mudança De Escopo</v>
          </cell>
          <cell r="G80" t="str">
            <v>ME</v>
          </cell>
          <cell r="H80">
            <v>0</v>
          </cell>
          <cell r="I80">
            <v>0</v>
          </cell>
        </row>
        <row r="81">
          <cell r="B81" t="str">
            <v>MM</v>
          </cell>
          <cell r="C81" t="str">
            <v>MEMORANDO</v>
          </cell>
          <cell r="F81" t="str">
            <v>Memorando</v>
          </cell>
          <cell r="G81" t="str">
            <v>MM</v>
          </cell>
          <cell r="H81">
            <v>0</v>
          </cell>
          <cell r="I81">
            <v>0</v>
          </cell>
        </row>
        <row r="82">
          <cell r="B82" t="str">
            <v>MN</v>
          </cell>
          <cell r="C82" t="str">
            <v>MANUAIS / PROCEDIMENTOS</v>
          </cell>
          <cell r="F82" t="str">
            <v>Manuais/ Procedimentos</v>
          </cell>
          <cell r="G82" t="str">
            <v>MN</v>
          </cell>
          <cell r="H82">
            <v>0</v>
          </cell>
          <cell r="I82">
            <v>0</v>
          </cell>
        </row>
        <row r="83">
          <cell r="B83" t="str">
            <v>MO</v>
          </cell>
          <cell r="C83" t="str">
            <v>MANUAL DE OPERAÇÃO E / OU MANUTENÇÃO</v>
          </cell>
          <cell r="D83" t="str">
            <v>DET</v>
          </cell>
          <cell r="E83" t="str">
            <v>DOC</v>
          </cell>
          <cell r="F83" t="str">
            <v>Manual De Operação E/Ou Manutenção</v>
          </cell>
          <cell r="G83" t="str">
            <v>MO</v>
          </cell>
          <cell r="H83" t="str">
            <v>DET</v>
          </cell>
          <cell r="I83" t="str">
            <v>DOC</v>
          </cell>
        </row>
        <row r="84">
          <cell r="B84" t="str">
            <v>MP</v>
          </cell>
          <cell r="C84" t="str">
            <v>MALHA DE PROGRAMAÇÃO</v>
          </cell>
          <cell r="D84" t="str">
            <v>DET</v>
          </cell>
          <cell r="E84" t="str">
            <v>DOC</v>
          </cell>
          <cell r="F84" t="str">
            <v>Malha De Programação</v>
          </cell>
          <cell r="G84" t="str">
            <v>MP</v>
          </cell>
          <cell r="H84" t="str">
            <v>DET</v>
          </cell>
          <cell r="I84" t="str">
            <v>DOC</v>
          </cell>
        </row>
        <row r="85">
          <cell r="B85" t="str">
            <v>MQ</v>
          </cell>
          <cell r="C85" t="str">
            <v>MANUAL DA QUALIDADE</v>
          </cell>
          <cell r="F85" t="str">
            <v>Manual Da Qualidade</v>
          </cell>
          <cell r="G85" t="str">
            <v>MQ</v>
          </cell>
          <cell r="H85">
            <v>0</v>
          </cell>
          <cell r="I85">
            <v>0</v>
          </cell>
        </row>
        <row r="86">
          <cell r="B86" t="str">
            <v>MT</v>
          </cell>
          <cell r="C86" t="str">
            <v>MAPA DE CREDENCIAMENTO</v>
          </cell>
          <cell r="F86" t="str">
            <v>Mapa De Credenciamento</v>
          </cell>
          <cell r="G86" t="str">
            <v>MT</v>
          </cell>
          <cell r="H86">
            <v>0</v>
          </cell>
          <cell r="I86">
            <v>0</v>
          </cell>
        </row>
        <row r="87">
          <cell r="B87" t="str">
            <v>MU</v>
          </cell>
          <cell r="C87" t="str">
            <v>MANUAL DO USUÁRIO</v>
          </cell>
          <cell r="F87" t="str">
            <v>Manual Do Usuário</v>
          </cell>
          <cell r="G87" t="str">
            <v>MU</v>
          </cell>
          <cell r="H87">
            <v>0</v>
          </cell>
          <cell r="I87">
            <v>0</v>
          </cell>
        </row>
        <row r="88">
          <cell r="B88" t="str">
            <v>NA</v>
          </cell>
          <cell r="C88" t="str">
            <v>NADA CONSTA</v>
          </cell>
          <cell r="F88" t="str">
            <v>Nada Consta</v>
          </cell>
          <cell r="G88" t="str">
            <v>NA</v>
          </cell>
          <cell r="H88">
            <v>0</v>
          </cell>
          <cell r="I88">
            <v>0</v>
          </cell>
        </row>
        <row r="89">
          <cell r="B89" t="str">
            <v>NC</v>
          </cell>
          <cell r="C89" t="str">
            <v>NORMA DE COORDENAÇÃO</v>
          </cell>
          <cell r="F89" t="str">
            <v>Norma De Coordenação</v>
          </cell>
          <cell r="G89" t="str">
            <v>NC</v>
          </cell>
          <cell r="H89">
            <v>0</v>
          </cell>
          <cell r="I89">
            <v>0</v>
          </cell>
        </row>
        <row r="90">
          <cell r="B90" t="str">
            <v>NF</v>
          </cell>
          <cell r="C90" t="str">
            <v>RELATÓRIO / REGISTRO DE NÃO CONFORMIDADE</v>
          </cell>
          <cell r="F90" t="str">
            <v>Relatório/ Registro De Não Conformidade</v>
          </cell>
          <cell r="G90" t="str">
            <v>NF</v>
          </cell>
          <cell r="H90">
            <v>0</v>
          </cell>
          <cell r="I90">
            <v>0</v>
          </cell>
        </row>
        <row r="91">
          <cell r="B91" t="str">
            <v>NS</v>
          </cell>
          <cell r="C91" t="str">
            <v>NOTAS DE SERVIÇO</v>
          </cell>
          <cell r="D91" t="str">
            <v>BAS</v>
          </cell>
          <cell r="E91" t="str">
            <v>DOC</v>
          </cell>
          <cell r="F91" t="str">
            <v>Notas De Serviço</v>
          </cell>
          <cell r="G91" t="str">
            <v>NS</v>
          </cell>
          <cell r="H91" t="str">
            <v>BAS</v>
          </cell>
          <cell r="I91" t="str">
            <v>DOC</v>
          </cell>
        </row>
        <row r="92">
          <cell r="B92" t="str">
            <v>NT</v>
          </cell>
          <cell r="C92" t="str">
            <v>NORMAS TÉCNICAS</v>
          </cell>
          <cell r="D92" t="str">
            <v>BAS</v>
          </cell>
          <cell r="E92" t="str">
            <v>DOC</v>
          </cell>
          <cell r="F92" t="str">
            <v>Normas Técnicas</v>
          </cell>
          <cell r="G92" t="str">
            <v>NT</v>
          </cell>
          <cell r="H92" t="str">
            <v>BAS</v>
          </cell>
          <cell r="I92" t="str">
            <v>DOC</v>
          </cell>
        </row>
        <row r="93">
          <cell r="B93" t="str">
            <v>OC</v>
          </cell>
          <cell r="C93" t="str">
            <v>ORDEM DE COMPRA / AUTORIZAÇÃO DE SERVIÇO</v>
          </cell>
          <cell r="F93" t="str">
            <v>Ordem De Compra/ Autorização De Serviço</v>
          </cell>
          <cell r="G93" t="str">
            <v>OC</v>
          </cell>
          <cell r="H93">
            <v>0</v>
          </cell>
          <cell r="I93">
            <v>0</v>
          </cell>
        </row>
        <row r="94">
          <cell r="B94" t="str">
            <v>OG</v>
          </cell>
          <cell r="C94" t="str">
            <v>ORGANOGRAMAS</v>
          </cell>
          <cell r="F94" t="str">
            <v>Organogramas</v>
          </cell>
          <cell r="G94" t="str">
            <v>OG</v>
          </cell>
          <cell r="H94">
            <v>0</v>
          </cell>
          <cell r="I94">
            <v>0</v>
          </cell>
        </row>
        <row r="95">
          <cell r="B95" t="str">
            <v>OI</v>
          </cell>
          <cell r="C95" t="str">
            <v>ORÇAMENTO DE INVESTIMENTOS</v>
          </cell>
          <cell r="D95" t="str">
            <v>BAS</v>
          </cell>
          <cell r="E95" t="str">
            <v>DOC</v>
          </cell>
          <cell r="F95" t="str">
            <v>Orçamento De Investimentos</v>
          </cell>
          <cell r="G95" t="str">
            <v>OI</v>
          </cell>
          <cell r="H95" t="str">
            <v>BAS</v>
          </cell>
          <cell r="I95" t="str">
            <v>DOC</v>
          </cell>
        </row>
        <row r="96">
          <cell r="B96" t="str">
            <v>OR</v>
          </cell>
          <cell r="C96" t="str">
            <v>ORÇAMENTO</v>
          </cell>
          <cell r="F96" t="str">
            <v>Orçamento</v>
          </cell>
          <cell r="G96" t="str">
            <v>OR</v>
          </cell>
          <cell r="H96">
            <v>0</v>
          </cell>
          <cell r="I96">
            <v>0</v>
          </cell>
        </row>
        <row r="97">
          <cell r="B97" t="str">
            <v>OS</v>
          </cell>
          <cell r="C97" t="str">
            <v>ORDEM DE SERVIÇO</v>
          </cell>
          <cell r="F97" t="str">
            <v>Ordem De Serviço</v>
          </cell>
          <cell r="G97" t="str">
            <v>OS</v>
          </cell>
          <cell r="H97">
            <v>0</v>
          </cell>
          <cell r="I97">
            <v>0</v>
          </cell>
        </row>
        <row r="98">
          <cell r="B98" t="str">
            <v>PB</v>
          </cell>
          <cell r="C98" t="str">
            <v>PLANO DE BASES/ CARGAS</v>
          </cell>
          <cell r="D98" t="str">
            <v>BAS</v>
          </cell>
          <cell r="E98" t="str">
            <v>DOC</v>
          </cell>
          <cell r="F98" t="str">
            <v>Plano De Bases/ Cargas</v>
          </cell>
          <cell r="G98" t="str">
            <v>PB</v>
          </cell>
          <cell r="H98" t="str">
            <v>BAS</v>
          </cell>
          <cell r="I98" t="str">
            <v>DOC</v>
          </cell>
        </row>
        <row r="99">
          <cell r="B99" t="str">
            <v>PE</v>
          </cell>
          <cell r="C99" t="str">
            <v>PERIÓDICOS</v>
          </cell>
          <cell r="F99" t="str">
            <v>Periódicos</v>
          </cell>
          <cell r="G99" t="str">
            <v>PE</v>
          </cell>
          <cell r="H99">
            <v>0</v>
          </cell>
          <cell r="I99">
            <v>0</v>
          </cell>
        </row>
        <row r="100">
          <cell r="B100" t="str">
            <v>PF</v>
          </cell>
          <cell r="C100" t="str">
            <v>PADRÕES / FORMULÁRIOS</v>
          </cell>
          <cell r="F100" t="str">
            <v>Padrões/ Formulários</v>
          </cell>
          <cell r="G100" t="str">
            <v>PF</v>
          </cell>
          <cell r="H100">
            <v>0</v>
          </cell>
          <cell r="I100">
            <v>0</v>
          </cell>
        </row>
        <row r="101">
          <cell r="B101" t="str">
            <v>PI</v>
          </cell>
          <cell r="C101" t="str">
            <v>PROGRAMA DE INSPEÇÃO E TESTES</v>
          </cell>
          <cell r="D101" t="str">
            <v>DET</v>
          </cell>
          <cell r="E101" t="str">
            <v>DOC</v>
          </cell>
          <cell r="F101" t="str">
            <v>Programa De Inspeção E Testes</v>
          </cell>
          <cell r="G101" t="str">
            <v>PI</v>
          </cell>
          <cell r="H101" t="str">
            <v>DET</v>
          </cell>
          <cell r="I101" t="str">
            <v>DOC</v>
          </cell>
        </row>
        <row r="102">
          <cell r="B102" t="str">
            <v>PJ</v>
          </cell>
          <cell r="C102" t="str">
            <v>PESQUISA DE LEVANTAMENTO DE NECESSIDADES DE TREINAMENTO</v>
          </cell>
          <cell r="F102" t="str">
            <v>Pesquisa De Levantamento De Necessidades De Treinamento</v>
          </cell>
          <cell r="G102" t="str">
            <v>PJ</v>
          </cell>
          <cell r="H102">
            <v>0</v>
          </cell>
          <cell r="I102">
            <v>0</v>
          </cell>
        </row>
        <row r="103">
          <cell r="B103" t="str">
            <v>PL</v>
          </cell>
          <cell r="C103" t="str">
            <v>PLANO DE AUDITORIA</v>
          </cell>
          <cell r="F103" t="str">
            <v>Plano De Auditoria</v>
          </cell>
          <cell r="G103" t="str">
            <v>PL</v>
          </cell>
          <cell r="H103">
            <v>0</v>
          </cell>
          <cell r="I103">
            <v>0</v>
          </cell>
        </row>
        <row r="104">
          <cell r="B104" t="str">
            <v>PM</v>
          </cell>
          <cell r="C104" t="str">
            <v>PROGRAMAÇÃO</v>
          </cell>
          <cell r="F104" t="str">
            <v>Programação</v>
          </cell>
          <cell r="G104" t="str">
            <v>PM</v>
          </cell>
          <cell r="H104">
            <v>0</v>
          </cell>
          <cell r="I104">
            <v>0</v>
          </cell>
        </row>
        <row r="105">
          <cell r="B105" t="str">
            <v>PN</v>
          </cell>
          <cell r="C105" t="str">
            <v>PLANO DE CONTAS</v>
          </cell>
          <cell r="F105" t="str">
            <v>Plano De Contas</v>
          </cell>
          <cell r="G105" t="str">
            <v>PN</v>
          </cell>
          <cell r="H105">
            <v>0</v>
          </cell>
          <cell r="I105">
            <v>0</v>
          </cell>
        </row>
        <row r="106">
          <cell r="B106" t="str">
            <v>PO</v>
          </cell>
          <cell r="C106" t="str">
            <v>PROPOSTA</v>
          </cell>
          <cell r="F106" t="str">
            <v>Proposta</v>
          </cell>
          <cell r="G106" t="str">
            <v>PO</v>
          </cell>
          <cell r="H106">
            <v>0</v>
          </cell>
          <cell r="I106">
            <v>0</v>
          </cell>
        </row>
        <row r="107">
          <cell r="B107" t="str">
            <v>PQ</v>
          </cell>
          <cell r="C107" t="str">
            <v>PLANILHA DE QUANTITATIVOS</v>
          </cell>
          <cell r="D107" t="str">
            <v>DET</v>
          </cell>
          <cell r="E107" t="str">
            <v>DOC</v>
          </cell>
          <cell r="F107" t="str">
            <v>Planilha De Quantitativos</v>
          </cell>
          <cell r="G107" t="str">
            <v>PQ</v>
          </cell>
          <cell r="H107" t="str">
            <v>DET</v>
          </cell>
          <cell r="I107" t="str">
            <v>DOC</v>
          </cell>
        </row>
        <row r="108">
          <cell r="B108" t="str">
            <v>PR</v>
          </cell>
          <cell r="C108" t="str">
            <v>PRAD - PLANO DE RECUPERAÇÃO DE ÁREAS DEGRADADAS</v>
          </cell>
          <cell r="D108" t="str">
            <v>DET</v>
          </cell>
          <cell r="E108" t="str">
            <v>DOC</v>
          </cell>
          <cell r="F108" t="str">
            <v>Prad - Plano De Recuperação De Áreas Degradadas</v>
          </cell>
          <cell r="G108" t="str">
            <v>PR</v>
          </cell>
          <cell r="H108" t="str">
            <v>DET</v>
          </cell>
          <cell r="I108" t="str">
            <v>DOC</v>
          </cell>
        </row>
        <row r="109">
          <cell r="B109" t="str">
            <v>PS</v>
          </cell>
          <cell r="C109" t="str">
            <v>PLANOS DE SONDAGEM</v>
          </cell>
          <cell r="D109" t="str">
            <v>BAS</v>
          </cell>
          <cell r="E109" t="str">
            <v>DOC</v>
          </cell>
          <cell r="F109" t="str">
            <v>Planos De Sondagem</v>
          </cell>
          <cell r="G109" t="str">
            <v>PS</v>
          </cell>
          <cell r="H109" t="str">
            <v>BAS</v>
          </cell>
          <cell r="I109" t="str">
            <v>DOC</v>
          </cell>
        </row>
        <row r="110">
          <cell r="B110" t="str">
            <v>PT</v>
          </cell>
          <cell r="C110" t="str">
            <v>PARECER TÉCNICO</v>
          </cell>
          <cell r="D110" t="str">
            <v>DET</v>
          </cell>
          <cell r="E110" t="str">
            <v>DOC</v>
          </cell>
          <cell r="F110" t="str">
            <v>Parecer Técnico</v>
          </cell>
          <cell r="G110" t="str">
            <v>PT</v>
          </cell>
          <cell r="H110" t="str">
            <v>DET</v>
          </cell>
          <cell r="I110" t="str">
            <v>DOC</v>
          </cell>
        </row>
        <row r="111">
          <cell r="B111" t="str">
            <v>PU</v>
          </cell>
          <cell r="C111" t="str">
            <v>PROCURAÇÃO</v>
          </cell>
          <cell r="F111" t="str">
            <v>Procuração</v>
          </cell>
          <cell r="G111" t="str">
            <v>PU</v>
          </cell>
          <cell r="H111">
            <v>0</v>
          </cell>
          <cell r="I111">
            <v>0</v>
          </cell>
        </row>
        <row r="112">
          <cell r="B112" t="str">
            <v>PV</v>
          </cell>
          <cell r="C112" t="str">
            <v>PLANO DE METAS</v>
          </cell>
          <cell r="F112" t="str">
            <v>Plano De Metas</v>
          </cell>
          <cell r="G112" t="str">
            <v>PV</v>
          </cell>
          <cell r="H112">
            <v>0</v>
          </cell>
          <cell r="I112">
            <v>0</v>
          </cell>
        </row>
        <row r="113">
          <cell r="B113" t="str">
            <v>PX</v>
          </cell>
          <cell r="C113" t="str">
            <v>PROCEDIMENTOS GERAIS (PROJETO, GERENCIAMENTO E SUPRIMENTO)</v>
          </cell>
          <cell r="F113" t="str">
            <v>Procedimentos Gerais (Projeto, Gerenciamento E Suprimento)</v>
          </cell>
          <cell r="G113" t="str">
            <v>PX</v>
          </cell>
          <cell r="H113">
            <v>0</v>
          </cell>
          <cell r="I113">
            <v>0</v>
          </cell>
        </row>
        <row r="114">
          <cell r="B114" t="str">
            <v>QP</v>
          </cell>
          <cell r="C114" t="str">
            <v>QUADRO DE PESSOAL</v>
          </cell>
          <cell r="F114" t="str">
            <v>Quadro De Pessoal</v>
          </cell>
          <cell r="G114" t="str">
            <v>QP</v>
          </cell>
          <cell r="H114">
            <v>0</v>
          </cell>
          <cell r="I114">
            <v>0</v>
          </cell>
        </row>
        <row r="115">
          <cell r="B115" t="str">
            <v>RD</v>
          </cell>
          <cell r="C115" t="str">
            <v>RELATÓRIO DE DILIGENCIAMENTO / INSPEÇÃO</v>
          </cell>
          <cell r="D115" t="str">
            <v>DET</v>
          </cell>
          <cell r="E115" t="str">
            <v>DOC</v>
          </cell>
          <cell r="F115" t="str">
            <v>Relatório De Diligenciamento/ Inspeção</v>
          </cell>
          <cell r="G115" t="str">
            <v>RD</v>
          </cell>
          <cell r="H115" t="str">
            <v>DET</v>
          </cell>
          <cell r="I115" t="str">
            <v>DOC</v>
          </cell>
        </row>
        <row r="116">
          <cell r="B116" t="str">
            <v>RE</v>
          </cell>
          <cell r="C116" t="str">
            <v>RESUMO DE ATIVIDADES DO EMPREENDIMENTO</v>
          </cell>
          <cell r="F116" t="str">
            <v>Resumo De Atividades Do Empreendimento</v>
          </cell>
          <cell r="G116" t="str">
            <v>RE</v>
          </cell>
          <cell r="H116">
            <v>0</v>
          </cell>
          <cell r="I116">
            <v>0</v>
          </cell>
        </row>
        <row r="117">
          <cell r="B117" t="str">
            <v>RG</v>
          </cell>
          <cell r="C117" t="str">
            <v>RELATÓRIO GERENCIAL</v>
          </cell>
          <cell r="F117" t="str">
            <v>Relatório Gerencial</v>
          </cell>
          <cell r="G117" t="str">
            <v>RG</v>
          </cell>
          <cell r="H117">
            <v>0</v>
          </cell>
          <cell r="I117">
            <v>0</v>
          </cell>
        </row>
        <row r="118">
          <cell r="B118" t="str">
            <v>RJ</v>
          </cell>
          <cell r="C118" t="str">
            <v>REGISTRO DE TREINAMENTO NO TRABALHO</v>
          </cell>
          <cell r="F118" t="str">
            <v>Registro De Treinamento No Trabalho</v>
          </cell>
          <cell r="G118" t="str">
            <v>RJ</v>
          </cell>
          <cell r="H118">
            <v>0</v>
          </cell>
          <cell r="I118">
            <v>0</v>
          </cell>
        </row>
        <row r="119">
          <cell r="B119" t="str">
            <v>RM</v>
          </cell>
          <cell r="C119" t="str">
            <v>REQUISIÇÃO DE MATERIAIS</v>
          </cell>
          <cell r="D119" t="str">
            <v>DET</v>
          </cell>
          <cell r="E119" t="str">
            <v>DOC</v>
          </cell>
          <cell r="F119" t="str">
            <v>Requisição De Materiais</v>
          </cell>
          <cell r="G119" t="str">
            <v>RM</v>
          </cell>
          <cell r="H119" t="str">
            <v>DET</v>
          </cell>
          <cell r="I119" t="str">
            <v>DOC</v>
          </cell>
        </row>
        <row r="120">
          <cell r="B120" t="str">
            <v>RN</v>
          </cell>
          <cell r="C120" t="str">
            <v>RELATÓRIO DE COMERCIALIZAÇÃO</v>
          </cell>
          <cell r="F120" t="str">
            <v>Relatório De Comercialização</v>
          </cell>
          <cell r="G120" t="str">
            <v>RN</v>
          </cell>
          <cell r="H120">
            <v>0</v>
          </cell>
          <cell r="I120">
            <v>0</v>
          </cell>
        </row>
        <row r="121">
          <cell r="B121" t="str">
            <v>RO</v>
          </cell>
          <cell r="C121" t="str">
            <v>RELATÓRIO DIÁRIO DE OBRAS</v>
          </cell>
          <cell r="D121" t="str">
            <v>DET</v>
          </cell>
          <cell r="E121" t="str">
            <v>DOC</v>
          </cell>
          <cell r="F121" t="str">
            <v>Relatório Diário De Obras</v>
          </cell>
          <cell r="G121" t="str">
            <v>RO</v>
          </cell>
          <cell r="H121" t="str">
            <v>DET</v>
          </cell>
          <cell r="I121" t="str">
            <v>DOC</v>
          </cell>
        </row>
        <row r="122">
          <cell r="B122" t="str">
            <v>RP</v>
          </cell>
          <cell r="C122" t="str">
            <v>RELATÓRIO DE ANÁLISE DE PROPOSTAS</v>
          </cell>
          <cell r="D122" t="str">
            <v>DET</v>
          </cell>
          <cell r="E122" t="str">
            <v>DOC</v>
          </cell>
          <cell r="F122" t="str">
            <v>Relatório De Análise De Propostas</v>
          </cell>
          <cell r="G122" t="str">
            <v>RP</v>
          </cell>
          <cell r="H122" t="str">
            <v>DET</v>
          </cell>
          <cell r="I122" t="str">
            <v>DOC</v>
          </cell>
        </row>
        <row r="123">
          <cell r="B123" t="str">
            <v>RS</v>
          </cell>
          <cell r="C123" t="str">
            <v>RESOLUÇÕES</v>
          </cell>
          <cell r="F123" t="str">
            <v>Resoluções</v>
          </cell>
          <cell r="G123" t="str">
            <v>RS</v>
          </cell>
          <cell r="H123">
            <v>0</v>
          </cell>
          <cell r="I123">
            <v>0</v>
          </cell>
        </row>
        <row r="124">
          <cell r="B124" t="str">
            <v>RT</v>
          </cell>
          <cell r="C124" t="str">
            <v>RELATÓRIO TÉCNICO</v>
          </cell>
          <cell r="D124" t="str">
            <v>DET</v>
          </cell>
          <cell r="E124" t="str">
            <v>DOC</v>
          </cell>
          <cell r="F124" t="str">
            <v>Relatório Técnico</v>
          </cell>
          <cell r="G124" t="str">
            <v>RT</v>
          </cell>
          <cell r="H124" t="str">
            <v>DET</v>
          </cell>
          <cell r="I124" t="str">
            <v>DOC</v>
          </cell>
        </row>
        <row r="125">
          <cell r="B125" t="str">
            <v>RU</v>
          </cell>
          <cell r="C125" t="str">
            <v>RELAÇÃO DE FUNCIONÁRIOS</v>
          </cell>
          <cell r="F125" t="str">
            <v>Relação De Funcionários</v>
          </cell>
          <cell r="G125" t="str">
            <v>RU</v>
          </cell>
          <cell r="H125">
            <v>0</v>
          </cell>
          <cell r="I125">
            <v>0</v>
          </cell>
        </row>
        <row r="126">
          <cell r="B126" t="str">
            <v>RV</v>
          </cell>
          <cell r="C126" t="str">
            <v>RELATÓRIO FOTOGRÁFICO / VIAGEM</v>
          </cell>
          <cell r="D126" t="str">
            <v>DET</v>
          </cell>
          <cell r="E126" t="str">
            <v>DOC</v>
          </cell>
          <cell r="F126" t="str">
            <v>Relatório Fotográfico/ Viagem</v>
          </cell>
          <cell r="G126" t="str">
            <v>RV</v>
          </cell>
          <cell r="H126" t="str">
            <v>DET</v>
          </cell>
          <cell r="I126" t="str">
            <v>DOC</v>
          </cell>
        </row>
        <row r="127">
          <cell r="B127" t="str">
            <v>RX</v>
          </cell>
          <cell r="C127" t="str">
            <v>RELATÓRIO DE RECLAMAÇÕES DO CLIENTE</v>
          </cell>
          <cell r="F127" t="str">
            <v>Relatório De Reclamações Do Cliente</v>
          </cell>
          <cell r="G127" t="str">
            <v>RX</v>
          </cell>
          <cell r="H127">
            <v>0</v>
          </cell>
          <cell r="I127">
            <v>0</v>
          </cell>
        </row>
        <row r="128">
          <cell r="B128" t="str">
            <v>RY</v>
          </cell>
          <cell r="C128" t="str">
            <v>RECIBOS</v>
          </cell>
          <cell r="F128" t="str">
            <v>Recibos</v>
          </cell>
          <cell r="G128" t="str">
            <v>RY</v>
          </cell>
          <cell r="H128">
            <v>0</v>
          </cell>
          <cell r="I128">
            <v>0</v>
          </cell>
        </row>
        <row r="129">
          <cell r="B129" t="str">
            <v>RZ</v>
          </cell>
          <cell r="C129" t="str">
            <v>REQUISIÇÃO DE COMPRA</v>
          </cell>
          <cell r="D129" t="str">
            <v>BAS</v>
          </cell>
          <cell r="E129" t="str">
            <v>DOC</v>
          </cell>
          <cell r="F129" t="str">
            <v>Requisição De Compra</v>
          </cell>
          <cell r="G129" t="str">
            <v>RZ</v>
          </cell>
          <cell r="H129" t="str">
            <v>BAS</v>
          </cell>
          <cell r="I129" t="str">
            <v>DOC</v>
          </cell>
        </row>
        <row r="130">
          <cell r="B130" t="str">
            <v>SA</v>
          </cell>
          <cell r="C130" t="str">
            <v>SOLICITAÇÃO DE ADMISSÃO DE EMPREGADOS E ESTAGIÁRIOS</v>
          </cell>
          <cell r="F130" t="str">
            <v>Solicitação De Admissão De Empregados E Estagiários</v>
          </cell>
          <cell r="G130" t="str">
            <v>SA</v>
          </cell>
          <cell r="H130">
            <v>0</v>
          </cell>
          <cell r="I130">
            <v>0</v>
          </cell>
        </row>
        <row r="131">
          <cell r="B131" t="str">
            <v>SF</v>
          </cell>
          <cell r="C131" t="str">
            <v>RELAÇÃO DE SOFTWARE</v>
          </cell>
          <cell r="F131" t="str">
            <v>Relação De Software</v>
          </cell>
          <cell r="G131" t="str">
            <v>SF</v>
          </cell>
          <cell r="H131">
            <v>0</v>
          </cell>
          <cell r="I131">
            <v>0</v>
          </cell>
        </row>
        <row r="132">
          <cell r="B132" t="str">
            <v>SS</v>
          </cell>
          <cell r="C132" t="str">
            <v>SOLICITAÇÃO DE SERVIÇOS</v>
          </cell>
          <cell r="F132" t="str">
            <v>Solicitação De Serviços</v>
          </cell>
          <cell r="G132" t="str">
            <v>SS</v>
          </cell>
          <cell r="H132">
            <v>0</v>
          </cell>
          <cell r="I132">
            <v>0</v>
          </cell>
        </row>
        <row r="133">
          <cell r="B133" t="str">
            <v>ST</v>
          </cell>
          <cell r="C133" t="str">
            <v>RELATÓRIOS DOS SISTEMAS</v>
          </cell>
          <cell r="F133" t="str">
            <v>Relatórios Dos Sistemas</v>
          </cell>
          <cell r="G133" t="str">
            <v>ST</v>
          </cell>
          <cell r="H133">
            <v>0</v>
          </cell>
          <cell r="I133">
            <v>0</v>
          </cell>
        </row>
        <row r="134">
          <cell r="B134" t="str">
            <v>TD</v>
          </cell>
          <cell r="C134" t="str">
            <v>TESTES E LAUDOS DE PESSOAL</v>
          </cell>
          <cell r="F134" t="str">
            <v>Testes E Laudos De Pessoal</v>
          </cell>
          <cell r="G134" t="str">
            <v>TD</v>
          </cell>
          <cell r="H134">
            <v>0</v>
          </cell>
          <cell r="I134">
            <v>0</v>
          </cell>
        </row>
        <row r="135">
          <cell r="B135" t="str">
            <v>TE</v>
          </cell>
          <cell r="C135" t="str">
            <v>TERMO DE ENCERRAMENTO</v>
          </cell>
          <cell r="F135" t="str">
            <v>Termo De Encerramento</v>
          </cell>
          <cell r="G135" t="str">
            <v>TE</v>
          </cell>
          <cell r="H135">
            <v>0</v>
          </cell>
          <cell r="I135">
            <v>0</v>
          </cell>
        </row>
        <row r="136">
          <cell r="B136" t="str">
            <v>TP</v>
          </cell>
          <cell r="C136" t="str">
            <v>TERMO DE RESPONSABILIDADE</v>
          </cell>
          <cell r="F136" t="str">
            <v>Termo De Responsabilidade</v>
          </cell>
          <cell r="G136" t="str">
            <v>TP</v>
          </cell>
          <cell r="H136">
            <v>0</v>
          </cell>
          <cell r="I136">
            <v>0</v>
          </cell>
        </row>
        <row r="137">
          <cell r="B137" t="str">
            <v>TT</v>
          </cell>
          <cell r="C137" t="str">
            <v>TREINAMENTO</v>
          </cell>
          <cell r="F137" t="str">
            <v>Treinamento</v>
          </cell>
          <cell r="G137" t="str">
            <v>TT</v>
          </cell>
          <cell r="H137">
            <v>0</v>
          </cell>
          <cell r="I137">
            <v>0</v>
          </cell>
        </row>
      </sheetData>
      <sheetData sheetId="13" refreshError="1">
        <row r="3">
          <cell r="C3" t="str">
            <v>DIAS</v>
          </cell>
          <cell r="D3" t="str">
            <v>SEMANAS</v>
          </cell>
        </row>
        <row r="4">
          <cell r="C4">
            <v>38950</v>
          </cell>
          <cell r="D4" t="str">
            <v>S.01</v>
          </cell>
        </row>
        <row r="5">
          <cell r="C5">
            <v>38951</v>
          </cell>
          <cell r="D5" t="str">
            <v>S.01</v>
          </cell>
        </row>
        <row r="6">
          <cell r="C6">
            <v>38952</v>
          </cell>
          <cell r="D6" t="str">
            <v>S.01</v>
          </cell>
        </row>
        <row r="7">
          <cell r="C7">
            <v>38953</v>
          </cell>
          <cell r="D7" t="str">
            <v>S.01</v>
          </cell>
        </row>
        <row r="8">
          <cell r="C8">
            <v>38954</v>
          </cell>
          <cell r="D8" t="str">
            <v>S.01</v>
          </cell>
        </row>
        <row r="9">
          <cell r="C9">
            <v>38955</v>
          </cell>
          <cell r="D9" t="str">
            <v>S.01</v>
          </cell>
        </row>
        <row r="10">
          <cell r="C10">
            <v>38956</v>
          </cell>
          <cell r="D10" t="str">
            <v>S.01</v>
          </cell>
        </row>
        <row r="11">
          <cell r="C11">
            <v>38957</v>
          </cell>
          <cell r="D11" t="str">
            <v>S.02</v>
          </cell>
        </row>
        <row r="12">
          <cell r="C12">
            <v>38958</v>
          </cell>
          <cell r="D12" t="str">
            <v>S.02</v>
          </cell>
        </row>
        <row r="13">
          <cell r="C13">
            <v>38959</v>
          </cell>
          <cell r="D13" t="str">
            <v>S.02</v>
          </cell>
        </row>
        <row r="14">
          <cell r="C14">
            <v>38960</v>
          </cell>
          <cell r="D14" t="str">
            <v>S.02</v>
          </cell>
        </row>
        <row r="15">
          <cell r="C15">
            <v>38961</v>
          </cell>
          <cell r="D15" t="str">
            <v>S.02</v>
          </cell>
        </row>
        <row r="16">
          <cell r="C16">
            <v>38962</v>
          </cell>
          <cell r="D16" t="str">
            <v>S.02</v>
          </cell>
        </row>
        <row r="17">
          <cell r="C17">
            <v>38963</v>
          </cell>
          <cell r="D17" t="str">
            <v>S.02</v>
          </cell>
        </row>
        <row r="18">
          <cell r="C18">
            <v>38964</v>
          </cell>
          <cell r="D18" t="str">
            <v>S.03</v>
          </cell>
        </row>
        <row r="19">
          <cell r="C19">
            <v>38965</v>
          </cell>
          <cell r="D19" t="str">
            <v>S.03</v>
          </cell>
        </row>
        <row r="20">
          <cell r="C20">
            <v>38966</v>
          </cell>
          <cell r="D20" t="str">
            <v>S.03</v>
          </cell>
        </row>
        <row r="21">
          <cell r="C21">
            <v>38967</v>
          </cell>
          <cell r="D21" t="str">
            <v>S.03</v>
          </cell>
        </row>
        <row r="22">
          <cell r="C22">
            <v>38968</v>
          </cell>
          <cell r="D22" t="str">
            <v>S.03</v>
          </cell>
        </row>
        <row r="23">
          <cell r="C23">
            <v>38969</v>
          </cell>
          <cell r="D23" t="str">
            <v>S.03</v>
          </cell>
        </row>
        <row r="24">
          <cell r="C24">
            <v>38970</v>
          </cell>
          <cell r="D24" t="str">
            <v>S.03</v>
          </cell>
        </row>
        <row r="25">
          <cell r="C25">
            <v>38971</v>
          </cell>
          <cell r="D25" t="str">
            <v>S.04</v>
          </cell>
        </row>
        <row r="26">
          <cell r="C26">
            <v>38972</v>
          </cell>
          <cell r="D26" t="str">
            <v>S.04</v>
          </cell>
        </row>
        <row r="27">
          <cell r="C27">
            <v>38973</v>
          </cell>
          <cell r="D27" t="str">
            <v>S.04</v>
          </cell>
        </row>
        <row r="28">
          <cell r="C28">
            <v>38974</v>
          </cell>
          <cell r="D28" t="str">
            <v>S.04</v>
          </cell>
        </row>
        <row r="29">
          <cell r="C29">
            <v>38975</v>
          </cell>
          <cell r="D29" t="str">
            <v>S.04</v>
          </cell>
        </row>
        <row r="30">
          <cell r="C30">
            <v>38976</v>
          </cell>
          <cell r="D30" t="str">
            <v>S.04</v>
          </cell>
        </row>
        <row r="31">
          <cell r="C31">
            <v>38977</v>
          </cell>
          <cell r="D31" t="str">
            <v>S.04</v>
          </cell>
        </row>
        <row r="32">
          <cell r="C32">
            <v>38978</v>
          </cell>
          <cell r="D32" t="str">
            <v>S.05</v>
          </cell>
        </row>
        <row r="33">
          <cell r="C33">
            <v>38979</v>
          </cell>
          <cell r="D33" t="str">
            <v>S.05</v>
          </cell>
        </row>
        <row r="34">
          <cell r="C34">
            <v>38980</v>
          </cell>
          <cell r="D34" t="str">
            <v>S.05</v>
          </cell>
        </row>
        <row r="35">
          <cell r="C35">
            <v>38981</v>
          </cell>
          <cell r="D35" t="str">
            <v>S.05</v>
          </cell>
        </row>
        <row r="36">
          <cell r="C36">
            <v>38982</v>
          </cell>
          <cell r="D36" t="str">
            <v>S.05</v>
          </cell>
        </row>
        <row r="37">
          <cell r="C37">
            <v>38983</v>
          </cell>
          <cell r="D37" t="str">
            <v>S.05</v>
          </cell>
        </row>
        <row r="38">
          <cell r="C38">
            <v>38984</v>
          </cell>
          <cell r="D38" t="str">
            <v>S.05</v>
          </cell>
        </row>
        <row r="39">
          <cell r="C39">
            <v>38985</v>
          </cell>
          <cell r="D39" t="str">
            <v>S.06</v>
          </cell>
        </row>
        <row r="40">
          <cell r="C40">
            <v>38986</v>
          </cell>
          <cell r="D40" t="str">
            <v>S.06</v>
          </cell>
        </row>
        <row r="41">
          <cell r="C41">
            <v>38987</v>
          </cell>
          <cell r="D41" t="str">
            <v>S.06</v>
          </cell>
        </row>
        <row r="42">
          <cell r="C42">
            <v>38988</v>
          </cell>
          <cell r="D42" t="str">
            <v>S.06</v>
          </cell>
        </row>
        <row r="43">
          <cell r="C43">
            <v>38989</v>
          </cell>
          <cell r="D43" t="str">
            <v>S.06</v>
          </cell>
        </row>
        <row r="44">
          <cell r="C44">
            <v>38990</v>
          </cell>
          <cell r="D44" t="str">
            <v>S.06</v>
          </cell>
        </row>
        <row r="45">
          <cell r="C45">
            <v>38991</v>
          </cell>
          <cell r="D45" t="str">
            <v>S.06</v>
          </cell>
        </row>
        <row r="46">
          <cell r="C46">
            <v>38992</v>
          </cell>
          <cell r="D46" t="str">
            <v>S.07</v>
          </cell>
        </row>
        <row r="47">
          <cell r="C47">
            <v>38993</v>
          </cell>
          <cell r="D47" t="str">
            <v>S.07</v>
          </cell>
        </row>
        <row r="48">
          <cell r="C48">
            <v>38994</v>
          </cell>
          <cell r="D48" t="str">
            <v>S.07</v>
          </cell>
        </row>
        <row r="49">
          <cell r="C49">
            <v>38995</v>
          </cell>
          <cell r="D49" t="str">
            <v>S.07</v>
          </cell>
        </row>
        <row r="50">
          <cell r="C50">
            <v>38996</v>
          </cell>
          <cell r="D50" t="str">
            <v>S.07</v>
          </cell>
        </row>
        <row r="51">
          <cell r="C51">
            <v>38997</v>
          </cell>
          <cell r="D51" t="str">
            <v>S.07</v>
          </cell>
        </row>
        <row r="52">
          <cell r="C52">
            <v>38998</v>
          </cell>
          <cell r="D52" t="str">
            <v>S.07</v>
          </cell>
        </row>
        <row r="53">
          <cell r="C53">
            <v>38999</v>
          </cell>
          <cell r="D53" t="str">
            <v>S.08</v>
          </cell>
        </row>
        <row r="54">
          <cell r="C54">
            <v>39000</v>
          </cell>
          <cell r="D54" t="str">
            <v>S.08</v>
          </cell>
        </row>
        <row r="55">
          <cell r="C55">
            <v>39001</v>
          </cell>
          <cell r="D55" t="str">
            <v>S.08</v>
          </cell>
        </row>
        <row r="56">
          <cell r="C56">
            <v>39002</v>
          </cell>
          <cell r="D56" t="str">
            <v>S.08</v>
          </cell>
        </row>
        <row r="57">
          <cell r="C57">
            <v>39003</v>
          </cell>
          <cell r="D57" t="str">
            <v>S.08</v>
          </cell>
        </row>
        <row r="58">
          <cell r="C58">
            <v>39004</v>
          </cell>
          <cell r="D58" t="str">
            <v>S.08</v>
          </cell>
        </row>
        <row r="59">
          <cell r="C59">
            <v>39005</v>
          </cell>
          <cell r="D59" t="str">
            <v>S.08</v>
          </cell>
        </row>
        <row r="60">
          <cell r="C60">
            <v>39006</v>
          </cell>
          <cell r="D60" t="str">
            <v>S.09</v>
          </cell>
        </row>
        <row r="61">
          <cell r="C61">
            <v>39007</v>
          </cell>
          <cell r="D61" t="str">
            <v>S.09</v>
          </cell>
        </row>
        <row r="62">
          <cell r="C62">
            <v>39008</v>
          </cell>
          <cell r="D62" t="str">
            <v>S.09</v>
          </cell>
        </row>
        <row r="63">
          <cell r="C63">
            <v>39009</v>
          </cell>
          <cell r="D63" t="str">
            <v>S.09</v>
          </cell>
        </row>
        <row r="64">
          <cell r="C64">
            <v>39010</v>
          </cell>
          <cell r="D64" t="str">
            <v>S.09</v>
          </cell>
        </row>
        <row r="65">
          <cell r="C65">
            <v>39011</v>
          </cell>
          <cell r="D65" t="str">
            <v>S.09</v>
          </cell>
        </row>
        <row r="66">
          <cell r="C66">
            <v>39012</v>
          </cell>
          <cell r="D66" t="str">
            <v>S.09</v>
          </cell>
        </row>
        <row r="67">
          <cell r="C67">
            <v>39013</v>
          </cell>
          <cell r="D67" t="str">
            <v>S.10</v>
          </cell>
        </row>
        <row r="68">
          <cell r="C68">
            <v>39014</v>
          </cell>
          <cell r="D68" t="str">
            <v>S.10</v>
          </cell>
        </row>
        <row r="69">
          <cell r="C69">
            <v>39015</v>
          </cell>
          <cell r="D69" t="str">
            <v>S.10</v>
          </cell>
        </row>
        <row r="70">
          <cell r="C70">
            <v>39016</v>
          </cell>
          <cell r="D70" t="str">
            <v>S.10</v>
          </cell>
        </row>
        <row r="71">
          <cell r="C71">
            <v>39017</v>
          </cell>
          <cell r="D71" t="str">
            <v>S.10</v>
          </cell>
        </row>
        <row r="72">
          <cell r="C72">
            <v>39018</v>
          </cell>
          <cell r="D72" t="str">
            <v>S.10</v>
          </cell>
        </row>
        <row r="73">
          <cell r="C73">
            <v>39019</v>
          </cell>
          <cell r="D73" t="str">
            <v>S.10</v>
          </cell>
        </row>
        <row r="74">
          <cell r="C74">
            <v>39020</v>
          </cell>
          <cell r="D74" t="str">
            <v>S.11</v>
          </cell>
        </row>
        <row r="75">
          <cell r="C75">
            <v>39021</v>
          </cell>
          <cell r="D75" t="str">
            <v>S.11</v>
          </cell>
        </row>
        <row r="76">
          <cell r="C76">
            <v>39022</v>
          </cell>
          <cell r="D76" t="str">
            <v>S.11</v>
          </cell>
        </row>
        <row r="77">
          <cell r="C77">
            <v>39023</v>
          </cell>
          <cell r="D77" t="str">
            <v>S.11</v>
          </cell>
        </row>
        <row r="78">
          <cell r="C78">
            <v>39024</v>
          </cell>
          <cell r="D78" t="str">
            <v>S.11</v>
          </cell>
        </row>
        <row r="79">
          <cell r="C79">
            <v>39025</v>
          </cell>
          <cell r="D79" t="str">
            <v>S.11</v>
          </cell>
        </row>
        <row r="80">
          <cell r="C80">
            <v>39026</v>
          </cell>
          <cell r="D80" t="str">
            <v>S.11</v>
          </cell>
        </row>
        <row r="81">
          <cell r="C81">
            <v>39027</v>
          </cell>
          <cell r="D81" t="str">
            <v>S.12</v>
          </cell>
        </row>
        <row r="82">
          <cell r="C82">
            <v>39028</v>
          </cell>
          <cell r="D82" t="str">
            <v>S.12</v>
          </cell>
        </row>
        <row r="83">
          <cell r="C83">
            <v>39029</v>
          </cell>
          <cell r="D83" t="str">
            <v>S.12</v>
          </cell>
        </row>
        <row r="84">
          <cell r="C84">
            <v>39030</v>
          </cell>
          <cell r="D84" t="str">
            <v>S.12</v>
          </cell>
        </row>
        <row r="85">
          <cell r="C85">
            <v>39031</v>
          </cell>
          <cell r="D85" t="str">
            <v>S.12</v>
          </cell>
        </row>
        <row r="86">
          <cell r="C86">
            <v>39032</v>
          </cell>
          <cell r="D86" t="str">
            <v>S.12</v>
          </cell>
        </row>
        <row r="87">
          <cell r="C87">
            <v>39033</v>
          </cell>
          <cell r="D87" t="str">
            <v>S.12</v>
          </cell>
        </row>
        <row r="88">
          <cell r="C88">
            <v>39034</v>
          </cell>
          <cell r="D88" t="str">
            <v>S.13</v>
          </cell>
        </row>
        <row r="89">
          <cell r="C89">
            <v>39035</v>
          </cell>
          <cell r="D89" t="str">
            <v>S.13</v>
          </cell>
        </row>
        <row r="90">
          <cell r="C90">
            <v>39036</v>
          </cell>
          <cell r="D90" t="str">
            <v>S.13</v>
          </cell>
        </row>
        <row r="91">
          <cell r="C91">
            <v>39037</v>
          </cell>
          <cell r="D91" t="str">
            <v>S.13</v>
          </cell>
        </row>
        <row r="92">
          <cell r="C92">
            <v>39038</v>
          </cell>
          <cell r="D92" t="str">
            <v>S.13</v>
          </cell>
        </row>
        <row r="93">
          <cell r="C93">
            <v>39039</v>
          </cell>
          <cell r="D93" t="str">
            <v>S.13</v>
          </cell>
        </row>
        <row r="94">
          <cell r="C94">
            <v>39040</v>
          </cell>
          <cell r="D94" t="str">
            <v>S.13</v>
          </cell>
        </row>
        <row r="95">
          <cell r="C95">
            <v>39041</v>
          </cell>
          <cell r="D95" t="str">
            <v>S.14</v>
          </cell>
        </row>
        <row r="96">
          <cell r="C96">
            <v>39042</v>
          </cell>
          <cell r="D96" t="str">
            <v>S.14</v>
          </cell>
        </row>
        <row r="97">
          <cell r="C97">
            <v>39043</v>
          </cell>
          <cell r="D97" t="str">
            <v>S.14</v>
          </cell>
        </row>
        <row r="98">
          <cell r="C98">
            <v>39044</v>
          </cell>
          <cell r="D98" t="str">
            <v>S.14</v>
          </cell>
        </row>
        <row r="99">
          <cell r="C99">
            <v>39045</v>
          </cell>
          <cell r="D99" t="str">
            <v>S.14</v>
          </cell>
        </row>
        <row r="100">
          <cell r="C100">
            <v>39046</v>
          </cell>
          <cell r="D100" t="str">
            <v>S.14</v>
          </cell>
        </row>
        <row r="101">
          <cell r="C101">
            <v>39047</v>
          </cell>
          <cell r="D101" t="str">
            <v>S.14</v>
          </cell>
        </row>
        <row r="102">
          <cell r="C102">
            <v>39048</v>
          </cell>
          <cell r="D102" t="str">
            <v>S.15</v>
          </cell>
        </row>
        <row r="103">
          <cell r="C103">
            <v>39049</v>
          </cell>
          <cell r="D103" t="str">
            <v>S.15</v>
          </cell>
        </row>
        <row r="104">
          <cell r="C104">
            <v>39050</v>
          </cell>
          <cell r="D104" t="str">
            <v>S.15</v>
          </cell>
        </row>
        <row r="105">
          <cell r="C105">
            <v>39051</v>
          </cell>
          <cell r="D105" t="str">
            <v>S.15</v>
          </cell>
        </row>
        <row r="106">
          <cell r="C106">
            <v>39052</v>
          </cell>
          <cell r="D106" t="str">
            <v>S.15</v>
          </cell>
        </row>
        <row r="107">
          <cell r="C107">
            <v>39053</v>
          </cell>
          <cell r="D107" t="str">
            <v>S.15</v>
          </cell>
        </row>
        <row r="108">
          <cell r="C108">
            <v>39054</v>
          </cell>
          <cell r="D108" t="str">
            <v>S.15</v>
          </cell>
        </row>
        <row r="109">
          <cell r="C109">
            <v>39055</v>
          </cell>
          <cell r="D109" t="str">
            <v>S.16</v>
          </cell>
        </row>
        <row r="110">
          <cell r="C110">
            <v>39056</v>
          </cell>
          <cell r="D110" t="str">
            <v>S.16</v>
          </cell>
        </row>
        <row r="111">
          <cell r="C111">
            <v>39057</v>
          </cell>
          <cell r="D111" t="str">
            <v>S.16</v>
          </cell>
        </row>
        <row r="112">
          <cell r="C112">
            <v>39058</v>
          </cell>
          <cell r="D112" t="str">
            <v>S.16</v>
          </cell>
        </row>
        <row r="113">
          <cell r="C113">
            <v>39059</v>
          </cell>
          <cell r="D113" t="str">
            <v>S.16</v>
          </cell>
        </row>
        <row r="114">
          <cell r="C114">
            <v>39060</v>
          </cell>
          <cell r="D114" t="str">
            <v>S.16</v>
          </cell>
        </row>
        <row r="115">
          <cell r="C115">
            <v>39061</v>
          </cell>
          <cell r="D115" t="str">
            <v>S.16</v>
          </cell>
        </row>
        <row r="116">
          <cell r="C116">
            <v>39062</v>
          </cell>
          <cell r="D116" t="str">
            <v>S.17</v>
          </cell>
        </row>
        <row r="117">
          <cell r="C117">
            <v>39063</v>
          </cell>
          <cell r="D117" t="str">
            <v>S.17</v>
          </cell>
        </row>
        <row r="118">
          <cell r="C118">
            <v>39064</v>
          </cell>
          <cell r="D118" t="str">
            <v>S.17</v>
          </cell>
        </row>
        <row r="119">
          <cell r="C119">
            <v>39065</v>
          </cell>
          <cell r="D119" t="str">
            <v>S.17</v>
          </cell>
        </row>
        <row r="120">
          <cell r="C120">
            <v>39066</v>
          </cell>
          <cell r="D120" t="str">
            <v>S.17</v>
          </cell>
        </row>
        <row r="121">
          <cell r="C121">
            <v>39067</v>
          </cell>
          <cell r="D121" t="str">
            <v>S.17</v>
          </cell>
        </row>
        <row r="122">
          <cell r="C122">
            <v>39068</v>
          </cell>
          <cell r="D122" t="str">
            <v>S.17</v>
          </cell>
        </row>
        <row r="123">
          <cell r="C123">
            <v>39069</v>
          </cell>
          <cell r="D123" t="str">
            <v>S.18</v>
          </cell>
        </row>
        <row r="124">
          <cell r="C124">
            <v>39070</v>
          </cell>
          <cell r="D124" t="str">
            <v>S.18</v>
          </cell>
        </row>
        <row r="125">
          <cell r="C125">
            <v>39071</v>
          </cell>
          <cell r="D125" t="str">
            <v>S.18</v>
          </cell>
        </row>
        <row r="126">
          <cell r="C126">
            <v>39072</v>
          </cell>
          <cell r="D126" t="str">
            <v>S.18</v>
          </cell>
        </row>
        <row r="127">
          <cell r="C127">
            <v>39073</v>
          </cell>
          <cell r="D127" t="str">
            <v>S.18</v>
          </cell>
        </row>
        <row r="128">
          <cell r="C128">
            <v>39074</v>
          </cell>
          <cell r="D128" t="str">
            <v>S.18</v>
          </cell>
        </row>
        <row r="129">
          <cell r="C129">
            <v>39075</v>
          </cell>
          <cell r="D129" t="str">
            <v>S.18</v>
          </cell>
        </row>
        <row r="130">
          <cell r="C130">
            <v>39076</v>
          </cell>
          <cell r="D130" t="str">
            <v>S.19</v>
          </cell>
        </row>
        <row r="131">
          <cell r="C131">
            <v>39077</v>
          </cell>
          <cell r="D131" t="str">
            <v>S.19</v>
          </cell>
        </row>
        <row r="132">
          <cell r="C132">
            <v>39078</v>
          </cell>
          <cell r="D132" t="str">
            <v>S.19</v>
          </cell>
        </row>
        <row r="133">
          <cell r="C133">
            <v>39079</v>
          </cell>
          <cell r="D133" t="str">
            <v>S.19</v>
          </cell>
        </row>
        <row r="134">
          <cell r="C134">
            <v>39080</v>
          </cell>
          <cell r="D134" t="str">
            <v>S.19</v>
          </cell>
        </row>
        <row r="135">
          <cell r="C135">
            <v>39081</v>
          </cell>
          <cell r="D135" t="str">
            <v>S.19</v>
          </cell>
        </row>
        <row r="136">
          <cell r="C136">
            <v>39082</v>
          </cell>
          <cell r="D136" t="str">
            <v>S.19</v>
          </cell>
        </row>
        <row r="137">
          <cell r="C137">
            <v>39083</v>
          </cell>
          <cell r="D137" t="str">
            <v>S.20</v>
          </cell>
        </row>
        <row r="138">
          <cell r="C138">
            <v>39084</v>
          </cell>
          <cell r="D138" t="str">
            <v>S.20</v>
          </cell>
        </row>
        <row r="139">
          <cell r="C139">
            <v>39085</v>
          </cell>
          <cell r="D139" t="str">
            <v>S.20</v>
          </cell>
        </row>
        <row r="140">
          <cell r="C140">
            <v>39086</v>
          </cell>
          <cell r="D140" t="str">
            <v>S.20</v>
          </cell>
        </row>
        <row r="141">
          <cell r="C141">
            <v>39087</v>
          </cell>
          <cell r="D141" t="str">
            <v>S.20</v>
          </cell>
        </row>
        <row r="142">
          <cell r="C142">
            <v>39088</v>
          </cell>
          <cell r="D142" t="str">
            <v>S.20</v>
          </cell>
        </row>
        <row r="143">
          <cell r="C143">
            <v>39089</v>
          </cell>
          <cell r="D143" t="str">
            <v>S.20</v>
          </cell>
        </row>
        <row r="144">
          <cell r="C144">
            <v>39090</v>
          </cell>
          <cell r="D144" t="str">
            <v>S.21</v>
          </cell>
        </row>
        <row r="145">
          <cell r="C145">
            <v>39091</v>
          </cell>
          <cell r="D145" t="str">
            <v>S.21</v>
          </cell>
        </row>
        <row r="146">
          <cell r="C146">
            <v>39092</v>
          </cell>
          <cell r="D146" t="str">
            <v>S.21</v>
          </cell>
        </row>
        <row r="147">
          <cell r="C147">
            <v>39093</v>
          </cell>
          <cell r="D147" t="str">
            <v>S.21</v>
          </cell>
        </row>
        <row r="148">
          <cell r="C148">
            <v>39094</v>
          </cell>
          <cell r="D148" t="str">
            <v>S.21</v>
          </cell>
        </row>
        <row r="149">
          <cell r="C149">
            <v>39095</v>
          </cell>
          <cell r="D149" t="str">
            <v>S.21</v>
          </cell>
        </row>
        <row r="150">
          <cell r="C150">
            <v>39096</v>
          </cell>
          <cell r="D150" t="str">
            <v>S.21</v>
          </cell>
        </row>
        <row r="151">
          <cell r="C151">
            <v>39097</v>
          </cell>
          <cell r="D151" t="str">
            <v>S.22</v>
          </cell>
        </row>
        <row r="152">
          <cell r="C152">
            <v>39098</v>
          </cell>
          <cell r="D152" t="str">
            <v>S.22</v>
          </cell>
        </row>
        <row r="153">
          <cell r="C153">
            <v>39099</v>
          </cell>
          <cell r="D153" t="str">
            <v>S.22</v>
          </cell>
        </row>
        <row r="154">
          <cell r="C154">
            <v>39100</v>
          </cell>
          <cell r="D154" t="str">
            <v>S.22</v>
          </cell>
        </row>
        <row r="155">
          <cell r="C155">
            <v>39101</v>
          </cell>
          <cell r="D155" t="str">
            <v>S.22</v>
          </cell>
        </row>
        <row r="156">
          <cell r="C156">
            <v>39102</v>
          </cell>
          <cell r="D156" t="str">
            <v>S.22</v>
          </cell>
        </row>
        <row r="157">
          <cell r="C157">
            <v>39103</v>
          </cell>
          <cell r="D157" t="str">
            <v>S.22</v>
          </cell>
        </row>
        <row r="158">
          <cell r="C158">
            <v>39104</v>
          </cell>
          <cell r="D158" t="str">
            <v>S.23</v>
          </cell>
        </row>
        <row r="159">
          <cell r="C159">
            <v>39105</v>
          </cell>
          <cell r="D159" t="str">
            <v>S.23</v>
          </cell>
        </row>
        <row r="160">
          <cell r="C160">
            <v>39106</v>
          </cell>
          <cell r="D160" t="str">
            <v>S.23</v>
          </cell>
        </row>
        <row r="161">
          <cell r="C161">
            <v>39107</v>
          </cell>
          <cell r="D161" t="str">
            <v>S.23</v>
          </cell>
        </row>
        <row r="162">
          <cell r="C162">
            <v>39108</v>
          </cell>
          <cell r="D162" t="str">
            <v>S.23</v>
          </cell>
        </row>
        <row r="163">
          <cell r="C163">
            <v>39109</v>
          </cell>
          <cell r="D163" t="str">
            <v>S.23</v>
          </cell>
        </row>
        <row r="164">
          <cell r="C164">
            <v>39110</v>
          </cell>
          <cell r="D164" t="str">
            <v>S.23</v>
          </cell>
        </row>
        <row r="165">
          <cell r="C165">
            <v>39111</v>
          </cell>
          <cell r="D165" t="str">
            <v>S.24</v>
          </cell>
        </row>
        <row r="166">
          <cell r="C166">
            <v>39112</v>
          </cell>
          <cell r="D166" t="str">
            <v>S.24</v>
          </cell>
        </row>
        <row r="167">
          <cell r="C167">
            <v>39113</v>
          </cell>
          <cell r="D167" t="str">
            <v>S.24</v>
          </cell>
        </row>
        <row r="168">
          <cell r="C168">
            <v>39114</v>
          </cell>
          <cell r="D168" t="str">
            <v>S.24</v>
          </cell>
        </row>
        <row r="169">
          <cell r="C169">
            <v>39115</v>
          </cell>
          <cell r="D169" t="str">
            <v>S.24</v>
          </cell>
        </row>
        <row r="170">
          <cell r="C170">
            <v>39116</v>
          </cell>
          <cell r="D170" t="str">
            <v>S.24</v>
          </cell>
        </row>
        <row r="171">
          <cell r="C171">
            <v>39117</v>
          </cell>
          <cell r="D171" t="str">
            <v>S.24</v>
          </cell>
        </row>
        <row r="172">
          <cell r="C172">
            <v>39118</v>
          </cell>
          <cell r="D172" t="str">
            <v>S.25</v>
          </cell>
        </row>
        <row r="173">
          <cell r="C173">
            <v>39119</v>
          </cell>
          <cell r="D173" t="str">
            <v>S.25</v>
          </cell>
        </row>
        <row r="174">
          <cell r="C174">
            <v>39120</v>
          </cell>
          <cell r="D174" t="str">
            <v>S.25</v>
          </cell>
        </row>
        <row r="175">
          <cell r="C175">
            <v>39121</v>
          </cell>
          <cell r="D175" t="str">
            <v>S.25</v>
          </cell>
        </row>
        <row r="176">
          <cell r="C176">
            <v>39122</v>
          </cell>
          <cell r="D176" t="str">
            <v>S.25</v>
          </cell>
        </row>
        <row r="177">
          <cell r="C177">
            <v>39123</v>
          </cell>
          <cell r="D177" t="str">
            <v>S.25</v>
          </cell>
        </row>
        <row r="178">
          <cell r="C178">
            <v>39124</v>
          </cell>
          <cell r="D178" t="str">
            <v>S.25</v>
          </cell>
        </row>
        <row r="179">
          <cell r="C179">
            <v>39125</v>
          </cell>
          <cell r="D179" t="str">
            <v>S.26</v>
          </cell>
        </row>
        <row r="180">
          <cell r="C180">
            <v>39126</v>
          </cell>
          <cell r="D180" t="str">
            <v>S.26</v>
          </cell>
        </row>
        <row r="181">
          <cell r="C181">
            <v>39127</v>
          </cell>
          <cell r="D181" t="str">
            <v>S.26</v>
          </cell>
        </row>
        <row r="182">
          <cell r="C182">
            <v>39128</v>
          </cell>
          <cell r="D182" t="str">
            <v>S.26</v>
          </cell>
        </row>
        <row r="183">
          <cell r="C183">
            <v>39129</v>
          </cell>
          <cell r="D183" t="str">
            <v>S.26</v>
          </cell>
        </row>
        <row r="184">
          <cell r="C184">
            <v>39130</v>
          </cell>
          <cell r="D184" t="str">
            <v>S.26</v>
          </cell>
        </row>
        <row r="185">
          <cell r="C185">
            <v>39131</v>
          </cell>
          <cell r="D185" t="str">
            <v>S.26</v>
          </cell>
        </row>
        <row r="186">
          <cell r="C186">
            <v>39132</v>
          </cell>
          <cell r="D186" t="str">
            <v>S.27</v>
          </cell>
        </row>
        <row r="187">
          <cell r="C187">
            <v>39133</v>
          </cell>
          <cell r="D187" t="str">
            <v>S.27</v>
          </cell>
        </row>
        <row r="188">
          <cell r="C188">
            <v>39134</v>
          </cell>
          <cell r="D188" t="str">
            <v>S.27</v>
          </cell>
        </row>
        <row r="189">
          <cell r="C189">
            <v>39135</v>
          </cell>
          <cell r="D189" t="str">
            <v>S.27</v>
          </cell>
        </row>
        <row r="190">
          <cell r="C190">
            <v>39136</v>
          </cell>
          <cell r="D190" t="str">
            <v>S.27</v>
          </cell>
        </row>
        <row r="191">
          <cell r="C191">
            <v>39137</v>
          </cell>
          <cell r="D191" t="str">
            <v>S.27</v>
          </cell>
        </row>
        <row r="192">
          <cell r="C192">
            <v>39138</v>
          </cell>
          <cell r="D192" t="str">
            <v>S.27</v>
          </cell>
        </row>
        <row r="193">
          <cell r="C193">
            <v>39139</v>
          </cell>
          <cell r="D193" t="str">
            <v>S.28</v>
          </cell>
        </row>
        <row r="194">
          <cell r="C194">
            <v>39140</v>
          </cell>
          <cell r="D194" t="str">
            <v>S.28</v>
          </cell>
        </row>
        <row r="195">
          <cell r="C195">
            <v>39141</v>
          </cell>
          <cell r="D195" t="str">
            <v>S.28</v>
          </cell>
        </row>
        <row r="196">
          <cell r="C196">
            <v>39142</v>
          </cell>
          <cell r="D196" t="str">
            <v>S.28</v>
          </cell>
        </row>
        <row r="197">
          <cell r="C197">
            <v>39143</v>
          </cell>
          <cell r="D197" t="str">
            <v>S.28</v>
          </cell>
        </row>
        <row r="198">
          <cell r="C198">
            <v>39144</v>
          </cell>
          <cell r="D198" t="str">
            <v>S.28</v>
          </cell>
        </row>
        <row r="199">
          <cell r="C199">
            <v>39145</v>
          </cell>
          <cell r="D199" t="str">
            <v>S.28</v>
          </cell>
        </row>
        <row r="200">
          <cell r="C200">
            <v>39146</v>
          </cell>
          <cell r="D200" t="str">
            <v>S.29</v>
          </cell>
        </row>
        <row r="201">
          <cell r="C201">
            <v>39147</v>
          </cell>
          <cell r="D201" t="str">
            <v>S.29</v>
          </cell>
        </row>
        <row r="202">
          <cell r="C202">
            <v>39148</v>
          </cell>
          <cell r="D202" t="str">
            <v>S.29</v>
          </cell>
        </row>
        <row r="203">
          <cell r="C203">
            <v>39149</v>
          </cell>
          <cell r="D203" t="str">
            <v>S.29</v>
          </cell>
        </row>
        <row r="204">
          <cell r="C204">
            <v>39150</v>
          </cell>
          <cell r="D204" t="str">
            <v>S.29</v>
          </cell>
        </row>
        <row r="205">
          <cell r="C205">
            <v>39151</v>
          </cell>
          <cell r="D205" t="str">
            <v>S.29</v>
          </cell>
        </row>
        <row r="206">
          <cell r="C206">
            <v>39152</v>
          </cell>
          <cell r="D206" t="str">
            <v>S.29</v>
          </cell>
        </row>
        <row r="207">
          <cell r="C207">
            <v>39153</v>
          </cell>
          <cell r="D207" t="str">
            <v>S.30</v>
          </cell>
        </row>
        <row r="208">
          <cell r="C208">
            <v>39154</v>
          </cell>
          <cell r="D208" t="str">
            <v>S.30</v>
          </cell>
        </row>
        <row r="209">
          <cell r="C209">
            <v>39155</v>
          </cell>
          <cell r="D209" t="str">
            <v>S.30</v>
          </cell>
        </row>
        <row r="210">
          <cell r="C210">
            <v>39156</v>
          </cell>
          <cell r="D210" t="str">
            <v>S.30</v>
          </cell>
        </row>
        <row r="211">
          <cell r="C211">
            <v>39157</v>
          </cell>
          <cell r="D211" t="str">
            <v>S.30</v>
          </cell>
        </row>
        <row r="212">
          <cell r="C212">
            <v>39158</v>
          </cell>
          <cell r="D212" t="str">
            <v>S.30</v>
          </cell>
        </row>
        <row r="213">
          <cell r="C213">
            <v>39159</v>
          </cell>
          <cell r="D213" t="str">
            <v>S.30</v>
          </cell>
        </row>
        <row r="214">
          <cell r="C214">
            <v>39160</v>
          </cell>
          <cell r="D214" t="str">
            <v>S.31</v>
          </cell>
        </row>
        <row r="215">
          <cell r="C215">
            <v>39161</v>
          </cell>
          <cell r="D215" t="str">
            <v>S.31</v>
          </cell>
        </row>
        <row r="216">
          <cell r="C216">
            <v>39162</v>
          </cell>
          <cell r="D216" t="str">
            <v>S.31</v>
          </cell>
        </row>
        <row r="217">
          <cell r="C217">
            <v>39163</v>
          </cell>
          <cell r="D217" t="str">
            <v>S.31</v>
          </cell>
        </row>
        <row r="218">
          <cell r="C218">
            <v>39164</v>
          </cell>
          <cell r="D218" t="str">
            <v>S.31</v>
          </cell>
        </row>
        <row r="219">
          <cell r="C219">
            <v>39165</v>
          </cell>
          <cell r="D219" t="str">
            <v>S.31</v>
          </cell>
        </row>
        <row r="220">
          <cell r="C220">
            <v>39166</v>
          </cell>
          <cell r="D220" t="str">
            <v>S.31</v>
          </cell>
        </row>
        <row r="221">
          <cell r="C221">
            <v>39167</v>
          </cell>
          <cell r="D221" t="str">
            <v>S.32</v>
          </cell>
        </row>
        <row r="222">
          <cell r="C222">
            <v>39168</v>
          </cell>
          <cell r="D222" t="str">
            <v>S.32</v>
          </cell>
        </row>
        <row r="223">
          <cell r="C223">
            <v>39169</v>
          </cell>
          <cell r="D223" t="str">
            <v>S.32</v>
          </cell>
        </row>
        <row r="224">
          <cell r="C224">
            <v>39170</v>
          </cell>
          <cell r="D224" t="str">
            <v>S.32</v>
          </cell>
        </row>
        <row r="225">
          <cell r="C225">
            <v>39171</v>
          </cell>
          <cell r="D225" t="str">
            <v>S.32</v>
          </cell>
        </row>
        <row r="226">
          <cell r="C226">
            <v>39172</v>
          </cell>
          <cell r="D226" t="str">
            <v>S.32</v>
          </cell>
        </row>
        <row r="227">
          <cell r="C227">
            <v>39173</v>
          </cell>
          <cell r="D227" t="str">
            <v>S.32</v>
          </cell>
        </row>
        <row r="228">
          <cell r="C228">
            <v>39174</v>
          </cell>
          <cell r="D228" t="str">
            <v>S.33</v>
          </cell>
        </row>
        <row r="229">
          <cell r="C229">
            <v>39175</v>
          </cell>
          <cell r="D229" t="str">
            <v>S.33</v>
          </cell>
        </row>
        <row r="230">
          <cell r="C230">
            <v>39176</v>
          </cell>
          <cell r="D230" t="str">
            <v>S.33</v>
          </cell>
        </row>
        <row r="231">
          <cell r="C231">
            <v>39177</v>
          </cell>
          <cell r="D231" t="str">
            <v>S.33</v>
          </cell>
        </row>
        <row r="232">
          <cell r="C232">
            <v>39178</v>
          </cell>
          <cell r="D232" t="str">
            <v>S.33</v>
          </cell>
        </row>
        <row r="233">
          <cell r="C233">
            <v>39179</v>
          </cell>
          <cell r="D233" t="str">
            <v>S.33</v>
          </cell>
        </row>
        <row r="234">
          <cell r="C234">
            <v>39180</v>
          </cell>
          <cell r="D234" t="str">
            <v>S.33</v>
          </cell>
        </row>
        <row r="235">
          <cell r="C235">
            <v>39181</v>
          </cell>
          <cell r="D235" t="str">
            <v>S.34</v>
          </cell>
        </row>
        <row r="236">
          <cell r="C236">
            <v>39182</v>
          </cell>
          <cell r="D236" t="str">
            <v>S.34</v>
          </cell>
        </row>
        <row r="237">
          <cell r="C237">
            <v>39183</v>
          </cell>
          <cell r="D237" t="str">
            <v>S.34</v>
          </cell>
        </row>
        <row r="238">
          <cell r="C238">
            <v>39184</v>
          </cell>
          <cell r="D238" t="str">
            <v>S.34</v>
          </cell>
        </row>
        <row r="239">
          <cell r="C239">
            <v>39185</v>
          </cell>
          <cell r="D239" t="str">
            <v>S.34</v>
          </cell>
        </row>
        <row r="240">
          <cell r="C240">
            <v>39186</v>
          </cell>
          <cell r="D240" t="str">
            <v>S.34</v>
          </cell>
        </row>
        <row r="241">
          <cell r="C241">
            <v>39187</v>
          </cell>
          <cell r="D241" t="str">
            <v>S.34</v>
          </cell>
        </row>
        <row r="242">
          <cell r="C242">
            <v>39188</v>
          </cell>
          <cell r="D242" t="str">
            <v>S.35</v>
          </cell>
        </row>
        <row r="243">
          <cell r="C243">
            <v>39189</v>
          </cell>
          <cell r="D243" t="str">
            <v>S.35</v>
          </cell>
        </row>
        <row r="244">
          <cell r="C244">
            <v>39190</v>
          </cell>
          <cell r="D244" t="str">
            <v>S.35</v>
          </cell>
        </row>
        <row r="245">
          <cell r="C245">
            <v>39191</v>
          </cell>
          <cell r="D245" t="str">
            <v>S.35</v>
          </cell>
        </row>
        <row r="246">
          <cell r="C246">
            <v>39192</v>
          </cell>
          <cell r="D246" t="str">
            <v>S.35</v>
          </cell>
        </row>
        <row r="247">
          <cell r="C247">
            <v>39193</v>
          </cell>
          <cell r="D247" t="str">
            <v>S.35</v>
          </cell>
        </row>
        <row r="248">
          <cell r="C248">
            <v>39194</v>
          </cell>
          <cell r="D248" t="str">
            <v>S.35</v>
          </cell>
        </row>
        <row r="249">
          <cell r="C249">
            <v>39195</v>
          </cell>
          <cell r="D249" t="str">
            <v>S.36</v>
          </cell>
        </row>
        <row r="250">
          <cell r="C250">
            <v>39196</v>
          </cell>
          <cell r="D250" t="str">
            <v>S.36</v>
          </cell>
        </row>
        <row r="251">
          <cell r="C251">
            <v>39197</v>
          </cell>
          <cell r="D251" t="str">
            <v>S.36</v>
          </cell>
        </row>
        <row r="252">
          <cell r="C252">
            <v>39198</v>
          </cell>
          <cell r="D252" t="str">
            <v>S.36</v>
          </cell>
        </row>
        <row r="253">
          <cell r="C253">
            <v>39199</v>
          </cell>
          <cell r="D253" t="str">
            <v>S.36</v>
          </cell>
        </row>
        <row r="254">
          <cell r="C254">
            <v>39200</v>
          </cell>
          <cell r="D254" t="str">
            <v>S.36</v>
          </cell>
        </row>
        <row r="255">
          <cell r="C255">
            <v>39201</v>
          </cell>
          <cell r="D255" t="str">
            <v>S.36</v>
          </cell>
        </row>
        <row r="256">
          <cell r="C256">
            <v>39202</v>
          </cell>
          <cell r="D256" t="str">
            <v>S.37</v>
          </cell>
        </row>
        <row r="257">
          <cell r="C257">
            <v>39203</v>
          </cell>
          <cell r="D257" t="str">
            <v>S.37</v>
          </cell>
        </row>
        <row r="258">
          <cell r="C258">
            <v>39204</v>
          </cell>
          <cell r="D258" t="str">
            <v>S.37</v>
          </cell>
        </row>
        <row r="259">
          <cell r="C259">
            <v>39205</v>
          </cell>
          <cell r="D259" t="str">
            <v>S.37</v>
          </cell>
        </row>
        <row r="260">
          <cell r="C260">
            <v>39206</v>
          </cell>
          <cell r="D260" t="str">
            <v>S.37</v>
          </cell>
        </row>
        <row r="261">
          <cell r="C261">
            <v>39207</v>
          </cell>
          <cell r="D261" t="str">
            <v>S.37</v>
          </cell>
        </row>
        <row r="262">
          <cell r="C262">
            <v>39208</v>
          </cell>
          <cell r="D262" t="str">
            <v>S.37</v>
          </cell>
        </row>
        <row r="263">
          <cell r="C263">
            <v>39209</v>
          </cell>
          <cell r="D263" t="str">
            <v>S.38</v>
          </cell>
        </row>
        <row r="264">
          <cell r="C264">
            <v>39210</v>
          </cell>
          <cell r="D264" t="str">
            <v>S.38</v>
          </cell>
        </row>
        <row r="265">
          <cell r="C265">
            <v>39211</v>
          </cell>
          <cell r="D265" t="str">
            <v>S.38</v>
          </cell>
        </row>
        <row r="266">
          <cell r="C266">
            <v>39212</v>
          </cell>
          <cell r="D266" t="str">
            <v>S.38</v>
          </cell>
        </row>
        <row r="267">
          <cell r="C267">
            <v>39213</v>
          </cell>
          <cell r="D267" t="str">
            <v>S.38</v>
          </cell>
        </row>
        <row r="268">
          <cell r="C268">
            <v>39214</v>
          </cell>
          <cell r="D268" t="str">
            <v>S.38</v>
          </cell>
        </row>
        <row r="269">
          <cell r="C269">
            <v>39215</v>
          </cell>
          <cell r="D269" t="str">
            <v>S.38</v>
          </cell>
        </row>
        <row r="270">
          <cell r="C270">
            <v>39216</v>
          </cell>
          <cell r="D270" t="str">
            <v>S.39</v>
          </cell>
        </row>
        <row r="271">
          <cell r="C271">
            <v>39217</v>
          </cell>
          <cell r="D271" t="str">
            <v>S.39</v>
          </cell>
        </row>
        <row r="272">
          <cell r="C272">
            <v>39218</v>
          </cell>
          <cell r="D272" t="str">
            <v>S.39</v>
          </cell>
        </row>
        <row r="273">
          <cell r="C273">
            <v>39219</v>
          </cell>
          <cell r="D273" t="str">
            <v>S.39</v>
          </cell>
        </row>
        <row r="274">
          <cell r="C274">
            <v>39220</v>
          </cell>
          <cell r="D274" t="str">
            <v>S.39</v>
          </cell>
        </row>
        <row r="275">
          <cell r="C275">
            <v>39221</v>
          </cell>
          <cell r="D275" t="str">
            <v>S.39</v>
          </cell>
        </row>
        <row r="276">
          <cell r="C276">
            <v>39222</v>
          </cell>
          <cell r="D276" t="str">
            <v>S.39</v>
          </cell>
        </row>
        <row r="277">
          <cell r="C277">
            <v>39223</v>
          </cell>
          <cell r="D277" t="str">
            <v>S.40</v>
          </cell>
        </row>
        <row r="278">
          <cell r="C278">
            <v>39224</v>
          </cell>
          <cell r="D278" t="str">
            <v>S.40</v>
          </cell>
        </row>
        <row r="279">
          <cell r="C279">
            <v>39225</v>
          </cell>
          <cell r="D279" t="str">
            <v>S.40</v>
          </cell>
        </row>
        <row r="280">
          <cell r="C280">
            <v>39226</v>
          </cell>
          <cell r="D280" t="str">
            <v>S.40</v>
          </cell>
        </row>
        <row r="281">
          <cell r="C281">
            <v>39227</v>
          </cell>
          <cell r="D281" t="str">
            <v>S.40</v>
          </cell>
        </row>
        <row r="282">
          <cell r="C282">
            <v>39228</v>
          </cell>
          <cell r="D282" t="str">
            <v>S.40</v>
          </cell>
        </row>
        <row r="283">
          <cell r="C283">
            <v>39229</v>
          </cell>
          <cell r="D283" t="str">
            <v>S.40</v>
          </cell>
        </row>
        <row r="284">
          <cell r="C284">
            <v>39230</v>
          </cell>
          <cell r="D284" t="str">
            <v>S.41</v>
          </cell>
        </row>
        <row r="285">
          <cell r="C285">
            <v>39231</v>
          </cell>
          <cell r="D285" t="str">
            <v>S.41</v>
          </cell>
        </row>
        <row r="286">
          <cell r="C286">
            <v>39232</v>
          </cell>
          <cell r="D286" t="str">
            <v>S.41</v>
          </cell>
        </row>
        <row r="287">
          <cell r="C287">
            <v>39233</v>
          </cell>
          <cell r="D287" t="str">
            <v>S.41</v>
          </cell>
        </row>
        <row r="288">
          <cell r="C288">
            <v>39234</v>
          </cell>
          <cell r="D288" t="str">
            <v>S.41</v>
          </cell>
        </row>
        <row r="289">
          <cell r="C289">
            <v>39235</v>
          </cell>
          <cell r="D289" t="str">
            <v>S.41</v>
          </cell>
        </row>
        <row r="290">
          <cell r="C290">
            <v>39236</v>
          </cell>
          <cell r="D290" t="str">
            <v>S.41</v>
          </cell>
        </row>
        <row r="291">
          <cell r="C291">
            <v>39237</v>
          </cell>
          <cell r="D291" t="str">
            <v>S.42</v>
          </cell>
        </row>
        <row r="292">
          <cell r="C292">
            <v>39238</v>
          </cell>
          <cell r="D292" t="str">
            <v>S.42</v>
          </cell>
        </row>
        <row r="293">
          <cell r="C293">
            <v>39239</v>
          </cell>
          <cell r="D293" t="str">
            <v>S.42</v>
          </cell>
        </row>
        <row r="294">
          <cell r="C294">
            <v>39240</v>
          </cell>
          <cell r="D294" t="str">
            <v>S.42</v>
          </cell>
        </row>
        <row r="295">
          <cell r="C295">
            <v>39241</v>
          </cell>
          <cell r="D295" t="str">
            <v>S.42</v>
          </cell>
        </row>
        <row r="296">
          <cell r="C296">
            <v>39242</v>
          </cell>
          <cell r="D296" t="str">
            <v>S.42</v>
          </cell>
        </row>
        <row r="297">
          <cell r="C297">
            <v>39243</v>
          </cell>
          <cell r="D297" t="str">
            <v>S.42</v>
          </cell>
        </row>
        <row r="298">
          <cell r="C298">
            <v>39244</v>
          </cell>
          <cell r="D298" t="str">
            <v>S.43</v>
          </cell>
        </row>
        <row r="299">
          <cell r="C299">
            <v>39245</v>
          </cell>
          <cell r="D299" t="str">
            <v>S.43</v>
          </cell>
        </row>
        <row r="300">
          <cell r="C300">
            <v>39246</v>
          </cell>
          <cell r="D300" t="str">
            <v>S.43</v>
          </cell>
        </row>
        <row r="301">
          <cell r="C301">
            <v>39247</v>
          </cell>
          <cell r="D301" t="str">
            <v>S.43</v>
          </cell>
        </row>
        <row r="302">
          <cell r="C302">
            <v>39248</v>
          </cell>
          <cell r="D302" t="str">
            <v>S.43</v>
          </cell>
        </row>
        <row r="303">
          <cell r="C303">
            <v>39249</v>
          </cell>
          <cell r="D303" t="str">
            <v>S.43</v>
          </cell>
        </row>
        <row r="304">
          <cell r="C304">
            <v>39250</v>
          </cell>
          <cell r="D304" t="str">
            <v>S.43</v>
          </cell>
        </row>
        <row r="305">
          <cell r="C305">
            <v>39251</v>
          </cell>
          <cell r="D305" t="str">
            <v>S.44</v>
          </cell>
        </row>
        <row r="306">
          <cell r="C306">
            <v>39252</v>
          </cell>
          <cell r="D306" t="str">
            <v>S.44</v>
          </cell>
        </row>
        <row r="307">
          <cell r="C307">
            <v>39253</v>
          </cell>
          <cell r="D307" t="str">
            <v>S.44</v>
          </cell>
        </row>
        <row r="308">
          <cell r="C308">
            <v>39254</v>
          </cell>
          <cell r="D308" t="str">
            <v>S.44</v>
          </cell>
        </row>
        <row r="309">
          <cell r="C309">
            <v>39255</v>
          </cell>
          <cell r="D309" t="str">
            <v>S.44</v>
          </cell>
        </row>
        <row r="310">
          <cell r="C310">
            <v>39256</v>
          </cell>
          <cell r="D310" t="str">
            <v>S.44</v>
          </cell>
        </row>
        <row r="311">
          <cell r="C311">
            <v>39257</v>
          </cell>
          <cell r="D311" t="str">
            <v>S.44</v>
          </cell>
        </row>
        <row r="312">
          <cell r="C312">
            <v>39258</v>
          </cell>
          <cell r="D312" t="str">
            <v>S.45</v>
          </cell>
        </row>
        <row r="313">
          <cell r="C313">
            <v>39259</v>
          </cell>
          <cell r="D313" t="str">
            <v>S.45</v>
          </cell>
        </row>
        <row r="314">
          <cell r="C314">
            <v>39260</v>
          </cell>
          <cell r="D314" t="str">
            <v>S.45</v>
          </cell>
        </row>
        <row r="315">
          <cell r="C315">
            <v>39261</v>
          </cell>
          <cell r="D315" t="str">
            <v>S.45</v>
          </cell>
        </row>
        <row r="316">
          <cell r="C316">
            <v>39262</v>
          </cell>
          <cell r="D316" t="str">
            <v>S.45</v>
          </cell>
        </row>
        <row r="317">
          <cell r="C317">
            <v>39263</v>
          </cell>
          <cell r="D317" t="str">
            <v>S.45</v>
          </cell>
        </row>
        <row r="318">
          <cell r="C318">
            <v>39264</v>
          </cell>
          <cell r="D318" t="str">
            <v>S.45</v>
          </cell>
        </row>
        <row r="319">
          <cell r="C319">
            <v>39265</v>
          </cell>
          <cell r="D319" t="str">
            <v>S.46</v>
          </cell>
        </row>
        <row r="320">
          <cell r="C320">
            <v>39266</v>
          </cell>
          <cell r="D320" t="str">
            <v>S.46</v>
          </cell>
        </row>
        <row r="321">
          <cell r="C321">
            <v>39267</v>
          </cell>
          <cell r="D321" t="str">
            <v>S.46</v>
          </cell>
        </row>
        <row r="322">
          <cell r="C322">
            <v>39268</v>
          </cell>
          <cell r="D322" t="str">
            <v>S.46</v>
          </cell>
        </row>
        <row r="323">
          <cell r="C323">
            <v>39269</v>
          </cell>
          <cell r="D323" t="str">
            <v>S.46</v>
          </cell>
        </row>
        <row r="324">
          <cell r="C324">
            <v>39270</v>
          </cell>
          <cell r="D324" t="str">
            <v>S.46</v>
          </cell>
        </row>
        <row r="325">
          <cell r="C325">
            <v>39271</v>
          </cell>
          <cell r="D325" t="str">
            <v>S.46</v>
          </cell>
        </row>
        <row r="326">
          <cell r="C326">
            <v>39272</v>
          </cell>
          <cell r="D326" t="str">
            <v>S.47</v>
          </cell>
        </row>
        <row r="327">
          <cell r="C327">
            <v>39273</v>
          </cell>
          <cell r="D327" t="str">
            <v>S.47</v>
          </cell>
        </row>
        <row r="328">
          <cell r="C328">
            <v>39274</v>
          </cell>
          <cell r="D328" t="str">
            <v>S.47</v>
          </cell>
        </row>
        <row r="329">
          <cell r="C329">
            <v>39275</v>
          </cell>
          <cell r="D329" t="str">
            <v>S.47</v>
          </cell>
        </row>
        <row r="330">
          <cell r="C330">
            <v>39276</v>
          </cell>
          <cell r="D330" t="str">
            <v>S.47</v>
          </cell>
        </row>
        <row r="331">
          <cell r="C331">
            <v>39277</v>
          </cell>
          <cell r="D331" t="str">
            <v>S.47</v>
          </cell>
        </row>
        <row r="332">
          <cell r="C332">
            <v>39278</v>
          </cell>
          <cell r="D332" t="str">
            <v>S.47</v>
          </cell>
        </row>
        <row r="333">
          <cell r="C333">
            <v>39279</v>
          </cell>
          <cell r="D333" t="str">
            <v>S.48</v>
          </cell>
        </row>
        <row r="334">
          <cell r="C334">
            <v>39280</v>
          </cell>
          <cell r="D334" t="str">
            <v>S.48</v>
          </cell>
        </row>
        <row r="335">
          <cell r="C335">
            <v>39281</v>
          </cell>
          <cell r="D335" t="str">
            <v>S.48</v>
          </cell>
        </row>
        <row r="336">
          <cell r="C336">
            <v>39282</v>
          </cell>
          <cell r="D336" t="str">
            <v>S.48</v>
          </cell>
        </row>
        <row r="337">
          <cell r="C337">
            <v>39283</v>
          </cell>
          <cell r="D337" t="str">
            <v>S.48</v>
          </cell>
        </row>
        <row r="338">
          <cell r="C338">
            <v>39284</v>
          </cell>
          <cell r="D338" t="str">
            <v>S.48</v>
          </cell>
        </row>
        <row r="339">
          <cell r="C339">
            <v>39285</v>
          </cell>
          <cell r="D339" t="str">
            <v>S.48</v>
          </cell>
        </row>
        <row r="340">
          <cell r="C340">
            <v>39286</v>
          </cell>
          <cell r="D340" t="str">
            <v>S.49</v>
          </cell>
        </row>
        <row r="341">
          <cell r="C341">
            <v>39287</v>
          </cell>
          <cell r="D341" t="str">
            <v>S.49</v>
          </cell>
        </row>
        <row r="342">
          <cell r="C342">
            <v>39288</v>
          </cell>
          <cell r="D342" t="str">
            <v>S.49</v>
          </cell>
        </row>
        <row r="343">
          <cell r="C343">
            <v>39289</v>
          </cell>
          <cell r="D343" t="str">
            <v>S.49</v>
          </cell>
        </row>
        <row r="344">
          <cell r="C344">
            <v>39290</v>
          </cell>
          <cell r="D344" t="str">
            <v>S.49</v>
          </cell>
        </row>
        <row r="345">
          <cell r="C345">
            <v>39291</v>
          </cell>
          <cell r="D345" t="str">
            <v>S.49</v>
          </cell>
        </row>
        <row r="346">
          <cell r="C346">
            <v>39292</v>
          </cell>
          <cell r="D346" t="str">
            <v>S.49</v>
          </cell>
        </row>
        <row r="347">
          <cell r="C347">
            <v>39293</v>
          </cell>
          <cell r="D347" t="str">
            <v>S.50</v>
          </cell>
        </row>
        <row r="348">
          <cell r="C348">
            <v>39294</v>
          </cell>
          <cell r="D348" t="str">
            <v>S.50</v>
          </cell>
        </row>
        <row r="349">
          <cell r="C349">
            <v>39295</v>
          </cell>
          <cell r="D349" t="str">
            <v>S.50</v>
          </cell>
        </row>
        <row r="350">
          <cell r="C350">
            <v>39296</v>
          </cell>
          <cell r="D350" t="str">
            <v>S.50</v>
          </cell>
        </row>
        <row r="351">
          <cell r="C351">
            <v>39297</v>
          </cell>
          <cell r="D351" t="str">
            <v>S.50</v>
          </cell>
        </row>
        <row r="352">
          <cell r="C352">
            <v>39298</v>
          </cell>
          <cell r="D352" t="str">
            <v>S.50</v>
          </cell>
        </row>
        <row r="353">
          <cell r="C353">
            <v>39299</v>
          </cell>
          <cell r="D353" t="str">
            <v>S.50</v>
          </cell>
        </row>
        <row r="354">
          <cell r="C354">
            <v>39300</v>
          </cell>
          <cell r="D354" t="str">
            <v>S.51</v>
          </cell>
        </row>
        <row r="355">
          <cell r="C355">
            <v>39301</v>
          </cell>
          <cell r="D355" t="str">
            <v>S.51</v>
          </cell>
        </row>
        <row r="356">
          <cell r="C356">
            <v>39302</v>
          </cell>
          <cell r="D356" t="str">
            <v>S.51</v>
          </cell>
        </row>
        <row r="357">
          <cell r="C357">
            <v>39303</v>
          </cell>
          <cell r="D357" t="str">
            <v>S.51</v>
          </cell>
        </row>
        <row r="358">
          <cell r="C358">
            <v>39304</v>
          </cell>
          <cell r="D358" t="str">
            <v>S.51</v>
          </cell>
        </row>
        <row r="359">
          <cell r="C359">
            <v>39305</v>
          </cell>
          <cell r="D359" t="str">
            <v>S.51</v>
          </cell>
        </row>
        <row r="360">
          <cell r="C360">
            <v>39306</v>
          </cell>
          <cell r="D360" t="str">
            <v>S.51</v>
          </cell>
        </row>
        <row r="361">
          <cell r="C361">
            <v>39307</v>
          </cell>
          <cell r="D361" t="str">
            <v>S.52</v>
          </cell>
        </row>
        <row r="362">
          <cell r="C362">
            <v>39308</v>
          </cell>
          <cell r="D362" t="str">
            <v>S.52</v>
          </cell>
        </row>
        <row r="363">
          <cell r="C363">
            <v>39309</v>
          </cell>
          <cell r="D363" t="str">
            <v>S.52</v>
          </cell>
        </row>
        <row r="364">
          <cell r="C364">
            <v>39310</v>
          </cell>
          <cell r="D364" t="str">
            <v>S.52</v>
          </cell>
        </row>
        <row r="365">
          <cell r="C365">
            <v>39311</v>
          </cell>
          <cell r="D365" t="str">
            <v>S.52</v>
          </cell>
        </row>
        <row r="366">
          <cell r="C366">
            <v>39312</v>
          </cell>
          <cell r="D366" t="str">
            <v>S.52</v>
          </cell>
        </row>
        <row r="367">
          <cell r="C367">
            <v>39313</v>
          </cell>
          <cell r="D367" t="str">
            <v>S.52</v>
          </cell>
        </row>
        <row r="368">
          <cell r="C368">
            <v>39314</v>
          </cell>
          <cell r="D368" t="str">
            <v>S.53</v>
          </cell>
        </row>
        <row r="369">
          <cell r="C369">
            <v>39315</v>
          </cell>
          <cell r="D369" t="str">
            <v>S.53</v>
          </cell>
        </row>
        <row r="370">
          <cell r="C370">
            <v>39316</v>
          </cell>
          <cell r="D370" t="str">
            <v>S.53</v>
          </cell>
        </row>
        <row r="371">
          <cell r="C371">
            <v>39317</v>
          </cell>
          <cell r="D371" t="str">
            <v>S.53</v>
          </cell>
        </row>
        <row r="372">
          <cell r="C372">
            <v>39318</v>
          </cell>
          <cell r="D372" t="str">
            <v>S.53</v>
          </cell>
        </row>
        <row r="373">
          <cell r="C373">
            <v>39319</v>
          </cell>
          <cell r="D373" t="str">
            <v>S.53</v>
          </cell>
        </row>
        <row r="374">
          <cell r="C374">
            <v>39320</v>
          </cell>
          <cell r="D374" t="str">
            <v>S.53</v>
          </cell>
        </row>
        <row r="375">
          <cell r="C375">
            <v>39321</v>
          </cell>
          <cell r="D375" t="str">
            <v>S.54</v>
          </cell>
        </row>
        <row r="376">
          <cell r="C376">
            <v>39322</v>
          </cell>
          <cell r="D376" t="str">
            <v>S.54</v>
          </cell>
        </row>
        <row r="377">
          <cell r="C377">
            <v>39323</v>
          </cell>
          <cell r="D377" t="str">
            <v>S.54</v>
          </cell>
        </row>
        <row r="378">
          <cell r="C378">
            <v>39324</v>
          </cell>
          <cell r="D378" t="str">
            <v>S.54</v>
          </cell>
        </row>
        <row r="379">
          <cell r="C379">
            <v>39325</v>
          </cell>
          <cell r="D379" t="str">
            <v>S.54</v>
          </cell>
        </row>
        <row r="380">
          <cell r="C380">
            <v>39326</v>
          </cell>
          <cell r="D380" t="str">
            <v>S.54</v>
          </cell>
        </row>
        <row r="381">
          <cell r="C381">
            <v>39327</v>
          </cell>
          <cell r="D381" t="str">
            <v>S.54</v>
          </cell>
        </row>
        <row r="382">
          <cell r="C382">
            <v>39328</v>
          </cell>
          <cell r="D382" t="str">
            <v>S.55</v>
          </cell>
        </row>
        <row r="383">
          <cell r="C383">
            <v>39329</v>
          </cell>
          <cell r="D383" t="str">
            <v>S.55</v>
          </cell>
        </row>
        <row r="384">
          <cell r="C384">
            <v>39330</v>
          </cell>
          <cell r="D384" t="str">
            <v>S.55</v>
          </cell>
        </row>
        <row r="385">
          <cell r="C385">
            <v>39331</v>
          </cell>
          <cell r="D385" t="str">
            <v>S.55</v>
          </cell>
        </row>
        <row r="386">
          <cell r="C386">
            <v>39332</v>
          </cell>
          <cell r="D386" t="str">
            <v>S.55</v>
          </cell>
        </row>
        <row r="387">
          <cell r="C387">
            <v>39333</v>
          </cell>
          <cell r="D387" t="str">
            <v>S.55</v>
          </cell>
        </row>
        <row r="388">
          <cell r="C388">
            <v>39334</v>
          </cell>
          <cell r="D388" t="str">
            <v>S.55</v>
          </cell>
        </row>
        <row r="389">
          <cell r="C389">
            <v>39335</v>
          </cell>
          <cell r="D389" t="str">
            <v>S.56</v>
          </cell>
        </row>
        <row r="390">
          <cell r="C390">
            <v>39336</v>
          </cell>
          <cell r="D390" t="str">
            <v>S.56</v>
          </cell>
        </row>
        <row r="391">
          <cell r="C391">
            <v>39337</v>
          </cell>
          <cell r="D391" t="str">
            <v>S.56</v>
          </cell>
        </row>
        <row r="392">
          <cell r="C392">
            <v>39338</v>
          </cell>
          <cell r="D392" t="str">
            <v>S.56</v>
          </cell>
        </row>
        <row r="393">
          <cell r="C393">
            <v>39339</v>
          </cell>
          <cell r="D393" t="str">
            <v>S.56</v>
          </cell>
        </row>
        <row r="394">
          <cell r="C394">
            <v>39340</v>
          </cell>
          <cell r="D394" t="str">
            <v>S.56</v>
          </cell>
        </row>
        <row r="395">
          <cell r="C395">
            <v>39341</v>
          </cell>
          <cell r="D395" t="str">
            <v>S.56</v>
          </cell>
        </row>
        <row r="396">
          <cell r="C396">
            <v>39342</v>
          </cell>
          <cell r="D396" t="str">
            <v>S.57</v>
          </cell>
        </row>
        <row r="397">
          <cell r="C397">
            <v>39343</v>
          </cell>
          <cell r="D397" t="str">
            <v>S.57</v>
          </cell>
        </row>
        <row r="398">
          <cell r="C398">
            <v>39344</v>
          </cell>
          <cell r="D398" t="str">
            <v>S.57</v>
          </cell>
        </row>
        <row r="399">
          <cell r="C399">
            <v>39345</v>
          </cell>
          <cell r="D399" t="str">
            <v>S.57</v>
          </cell>
        </row>
        <row r="400">
          <cell r="C400">
            <v>39346</v>
          </cell>
          <cell r="D400" t="str">
            <v>S.57</v>
          </cell>
        </row>
        <row r="401">
          <cell r="C401">
            <v>39347</v>
          </cell>
          <cell r="D401" t="str">
            <v>S.57</v>
          </cell>
        </row>
        <row r="402">
          <cell r="C402">
            <v>39348</v>
          </cell>
          <cell r="D402" t="str">
            <v>S.57</v>
          </cell>
        </row>
        <row r="403">
          <cell r="C403">
            <v>39349</v>
          </cell>
          <cell r="D403" t="str">
            <v>S.58</v>
          </cell>
        </row>
        <row r="404">
          <cell r="C404">
            <v>39350</v>
          </cell>
          <cell r="D404" t="str">
            <v>S.58</v>
          </cell>
        </row>
        <row r="405">
          <cell r="C405">
            <v>39351</v>
          </cell>
          <cell r="D405" t="str">
            <v>S.58</v>
          </cell>
        </row>
        <row r="406">
          <cell r="C406">
            <v>39352</v>
          </cell>
          <cell r="D406" t="str">
            <v>S.58</v>
          </cell>
        </row>
        <row r="407">
          <cell r="C407">
            <v>39353</v>
          </cell>
          <cell r="D407" t="str">
            <v>S.58</v>
          </cell>
        </row>
        <row r="408">
          <cell r="C408">
            <v>39354</v>
          </cell>
          <cell r="D408" t="str">
            <v>S.58</v>
          </cell>
        </row>
        <row r="409">
          <cell r="C409">
            <v>39355</v>
          </cell>
          <cell r="D409" t="str">
            <v>S.58</v>
          </cell>
        </row>
        <row r="410">
          <cell r="C410">
            <v>39356</v>
          </cell>
          <cell r="D410" t="str">
            <v>S.59</v>
          </cell>
        </row>
        <row r="411">
          <cell r="C411">
            <v>39357</v>
          </cell>
          <cell r="D411" t="str">
            <v>S.59</v>
          </cell>
        </row>
        <row r="412">
          <cell r="C412">
            <v>39358</v>
          </cell>
          <cell r="D412" t="str">
            <v>S.59</v>
          </cell>
        </row>
        <row r="413">
          <cell r="C413">
            <v>39359</v>
          </cell>
          <cell r="D413" t="str">
            <v>S.59</v>
          </cell>
        </row>
        <row r="414">
          <cell r="C414">
            <v>39360</v>
          </cell>
          <cell r="D414" t="str">
            <v>S.59</v>
          </cell>
        </row>
        <row r="415">
          <cell r="C415">
            <v>39361</v>
          </cell>
          <cell r="D415" t="str">
            <v>S.59</v>
          </cell>
        </row>
        <row r="416">
          <cell r="C416">
            <v>39362</v>
          </cell>
          <cell r="D416" t="str">
            <v>S.59</v>
          </cell>
        </row>
        <row r="417">
          <cell r="C417">
            <v>39363</v>
          </cell>
          <cell r="D417" t="str">
            <v>S.60</v>
          </cell>
        </row>
        <row r="418">
          <cell r="C418">
            <v>39364</v>
          </cell>
          <cell r="D418" t="str">
            <v>S.60</v>
          </cell>
        </row>
        <row r="419">
          <cell r="C419">
            <v>39365</v>
          </cell>
          <cell r="D419" t="str">
            <v>S.60</v>
          </cell>
        </row>
        <row r="420">
          <cell r="C420">
            <v>39366</v>
          </cell>
          <cell r="D420" t="str">
            <v>S.60</v>
          </cell>
        </row>
        <row r="421">
          <cell r="C421">
            <v>39367</v>
          </cell>
          <cell r="D421" t="str">
            <v>S.60</v>
          </cell>
        </row>
        <row r="422">
          <cell r="C422">
            <v>39368</v>
          </cell>
          <cell r="D422" t="str">
            <v>S.60</v>
          </cell>
        </row>
        <row r="423">
          <cell r="C423">
            <v>39369</v>
          </cell>
          <cell r="D423" t="str">
            <v>S.60</v>
          </cell>
        </row>
        <row r="424">
          <cell r="C424">
            <v>39370</v>
          </cell>
          <cell r="D424" t="str">
            <v>S.61</v>
          </cell>
        </row>
        <row r="425">
          <cell r="C425">
            <v>39371</v>
          </cell>
          <cell r="D425" t="str">
            <v>S.61</v>
          </cell>
        </row>
        <row r="426">
          <cell r="C426">
            <v>39372</v>
          </cell>
          <cell r="D426" t="str">
            <v>S.61</v>
          </cell>
        </row>
        <row r="427">
          <cell r="C427">
            <v>39373</v>
          </cell>
          <cell r="D427" t="str">
            <v>S.61</v>
          </cell>
        </row>
        <row r="428">
          <cell r="C428">
            <v>39374</v>
          </cell>
          <cell r="D428" t="str">
            <v>S.61</v>
          </cell>
        </row>
        <row r="429">
          <cell r="C429">
            <v>39375</v>
          </cell>
          <cell r="D429" t="str">
            <v>S.61</v>
          </cell>
        </row>
        <row r="430">
          <cell r="C430">
            <v>39376</v>
          </cell>
          <cell r="D430" t="str">
            <v>S.61</v>
          </cell>
        </row>
        <row r="431">
          <cell r="C431">
            <v>39377</v>
          </cell>
          <cell r="D431" t="str">
            <v>S.62</v>
          </cell>
        </row>
        <row r="432">
          <cell r="C432">
            <v>39378</v>
          </cell>
          <cell r="D432" t="str">
            <v>S.62</v>
          </cell>
        </row>
        <row r="433">
          <cell r="C433">
            <v>39379</v>
          </cell>
          <cell r="D433" t="str">
            <v>S.62</v>
          </cell>
        </row>
        <row r="434">
          <cell r="C434">
            <v>39380</v>
          </cell>
          <cell r="D434" t="str">
            <v>S.62</v>
          </cell>
        </row>
        <row r="435">
          <cell r="C435">
            <v>39381</v>
          </cell>
          <cell r="D435" t="str">
            <v>S.62</v>
          </cell>
        </row>
        <row r="436">
          <cell r="C436">
            <v>39382</v>
          </cell>
          <cell r="D436" t="str">
            <v>S.62</v>
          </cell>
        </row>
        <row r="437">
          <cell r="C437">
            <v>39383</v>
          </cell>
          <cell r="D437" t="str">
            <v>S.62</v>
          </cell>
        </row>
        <row r="438">
          <cell r="C438">
            <v>39384</v>
          </cell>
          <cell r="D438" t="str">
            <v>S.63</v>
          </cell>
        </row>
        <row r="439">
          <cell r="C439">
            <v>39385</v>
          </cell>
          <cell r="D439" t="str">
            <v>S.63</v>
          </cell>
        </row>
        <row r="440">
          <cell r="C440">
            <v>39386</v>
          </cell>
          <cell r="D440" t="str">
            <v>S.63</v>
          </cell>
        </row>
        <row r="441">
          <cell r="C441">
            <v>39387</v>
          </cell>
          <cell r="D441" t="str">
            <v>S.63</v>
          </cell>
        </row>
        <row r="442">
          <cell r="C442">
            <v>39388</v>
          </cell>
          <cell r="D442" t="str">
            <v>S.63</v>
          </cell>
        </row>
        <row r="443">
          <cell r="C443">
            <v>39389</v>
          </cell>
          <cell r="D443" t="str">
            <v>S.63</v>
          </cell>
        </row>
        <row r="444">
          <cell r="C444">
            <v>39390</v>
          </cell>
          <cell r="D444" t="str">
            <v>S.63</v>
          </cell>
        </row>
        <row r="445">
          <cell r="C445">
            <v>39391</v>
          </cell>
          <cell r="D445" t="str">
            <v>S.64</v>
          </cell>
        </row>
        <row r="446">
          <cell r="C446">
            <v>39392</v>
          </cell>
          <cell r="D446" t="str">
            <v>S.64</v>
          </cell>
        </row>
        <row r="447">
          <cell r="C447">
            <v>39393</v>
          </cell>
          <cell r="D447" t="str">
            <v>S.64</v>
          </cell>
        </row>
        <row r="448">
          <cell r="C448">
            <v>39394</v>
          </cell>
          <cell r="D448" t="str">
            <v>S.64</v>
          </cell>
        </row>
        <row r="449">
          <cell r="C449">
            <v>39395</v>
          </cell>
          <cell r="D449" t="str">
            <v>S.64</v>
          </cell>
        </row>
        <row r="450">
          <cell r="C450">
            <v>39396</v>
          </cell>
          <cell r="D450" t="str">
            <v>S.64</v>
          </cell>
        </row>
        <row r="451">
          <cell r="C451">
            <v>39397</v>
          </cell>
          <cell r="D451" t="str">
            <v>S.64</v>
          </cell>
        </row>
        <row r="452">
          <cell r="C452">
            <v>39398</v>
          </cell>
          <cell r="D452" t="str">
            <v>S.65</v>
          </cell>
        </row>
        <row r="453">
          <cell r="C453">
            <v>39399</v>
          </cell>
          <cell r="D453" t="str">
            <v>S.65</v>
          </cell>
        </row>
        <row r="454">
          <cell r="C454">
            <v>39400</v>
          </cell>
          <cell r="D454" t="str">
            <v>S.65</v>
          </cell>
        </row>
        <row r="455">
          <cell r="C455">
            <v>39401</v>
          </cell>
          <cell r="D455" t="str">
            <v>S.65</v>
          </cell>
        </row>
        <row r="456">
          <cell r="C456">
            <v>39402</v>
          </cell>
          <cell r="D456" t="str">
            <v>S.65</v>
          </cell>
        </row>
        <row r="457">
          <cell r="C457">
            <v>39403</v>
          </cell>
          <cell r="D457" t="str">
            <v>S.65</v>
          </cell>
        </row>
        <row r="458">
          <cell r="C458">
            <v>39404</v>
          </cell>
          <cell r="D458" t="str">
            <v>S.65</v>
          </cell>
        </row>
        <row r="459">
          <cell r="C459">
            <v>39405</v>
          </cell>
          <cell r="D459" t="str">
            <v>S.66</v>
          </cell>
        </row>
        <row r="460">
          <cell r="C460">
            <v>39406</v>
          </cell>
          <cell r="D460" t="str">
            <v>S.66</v>
          </cell>
        </row>
        <row r="461">
          <cell r="C461">
            <v>39407</v>
          </cell>
          <cell r="D461" t="str">
            <v>S.66</v>
          </cell>
        </row>
        <row r="462">
          <cell r="C462">
            <v>39408</v>
          </cell>
          <cell r="D462" t="str">
            <v>S.66</v>
          </cell>
        </row>
        <row r="463">
          <cell r="C463">
            <v>39409</v>
          </cell>
          <cell r="D463" t="str">
            <v>S.66</v>
          </cell>
        </row>
        <row r="464">
          <cell r="C464">
            <v>39410</v>
          </cell>
          <cell r="D464" t="str">
            <v>S.66</v>
          </cell>
        </row>
        <row r="465">
          <cell r="C465">
            <v>39411</v>
          </cell>
          <cell r="D465" t="str">
            <v>S.66</v>
          </cell>
        </row>
        <row r="466">
          <cell r="C466">
            <v>39412</v>
          </cell>
          <cell r="D466" t="str">
            <v>S.67</v>
          </cell>
        </row>
        <row r="467">
          <cell r="C467">
            <v>39413</v>
          </cell>
          <cell r="D467" t="str">
            <v>S.67</v>
          </cell>
        </row>
        <row r="468">
          <cell r="C468">
            <v>39414</v>
          </cell>
          <cell r="D468" t="str">
            <v>S.67</v>
          </cell>
        </row>
        <row r="469">
          <cell r="C469">
            <v>39415</v>
          </cell>
          <cell r="D469" t="str">
            <v>S.67</v>
          </cell>
        </row>
        <row r="470">
          <cell r="C470">
            <v>39416</v>
          </cell>
          <cell r="D470" t="str">
            <v>S.67</v>
          </cell>
        </row>
        <row r="471">
          <cell r="C471">
            <v>39417</v>
          </cell>
          <cell r="D471" t="str">
            <v>S.67</v>
          </cell>
        </row>
        <row r="472">
          <cell r="C472">
            <v>39418</v>
          </cell>
          <cell r="D472" t="str">
            <v>S.67</v>
          </cell>
        </row>
        <row r="473">
          <cell r="C473">
            <v>39419</v>
          </cell>
          <cell r="D473" t="str">
            <v>S.68</v>
          </cell>
        </row>
        <row r="474">
          <cell r="C474">
            <v>39420</v>
          </cell>
          <cell r="D474" t="str">
            <v>S.68</v>
          </cell>
        </row>
        <row r="475">
          <cell r="C475">
            <v>39421</v>
          </cell>
          <cell r="D475" t="str">
            <v>S.68</v>
          </cell>
        </row>
        <row r="476">
          <cell r="C476">
            <v>39422</v>
          </cell>
          <cell r="D476" t="str">
            <v>S.68</v>
          </cell>
        </row>
        <row r="477">
          <cell r="C477">
            <v>39423</v>
          </cell>
          <cell r="D477" t="str">
            <v>S.68</v>
          </cell>
        </row>
        <row r="478">
          <cell r="C478">
            <v>39424</v>
          </cell>
          <cell r="D478" t="str">
            <v>S.68</v>
          </cell>
        </row>
        <row r="479">
          <cell r="C479">
            <v>39425</v>
          </cell>
          <cell r="D479" t="str">
            <v>S.68</v>
          </cell>
        </row>
        <row r="480">
          <cell r="C480">
            <v>39426</v>
          </cell>
          <cell r="D480" t="str">
            <v>S.69</v>
          </cell>
        </row>
        <row r="481">
          <cell r="C481">
            <v>39427</v>
          </cell>
          <cell r="D481" t="str">
            <v>S.69</v>
          </cell>
        </row>
        <row r="482">
          <cell r="C482">
            <v>39428</v>
          </cell>
          <cell r="D482" t="str">
            <v>S.69</v>
          </cell>
        </row>
        <row r="483">
          <cell r="C483">
            <v>39429</v>
          </cell>
          <cell r="D483" t="str">
            <v>S.69</v>
          </cell>
        </row>
        <row r="484">
          <cell r="C484">
            <v>39430</v>
          </cell>
          <cell r="D484" t="str">
            <v>S.69</v>
          </cell>
        </row>
        <row r="485">
          <cell r="C485">
            <v>39431</v>
          </cell>
          <cell r="D485" t="str">
            <v>S.69</v>
          </cell>
        </row>
        <row r="486">
          <cell r="C486">
            <v>39432</v>
          </cell>
          <cell r="D486" t="str">
            <v>S.69</v>
          </cell>
        </row>
        <row r="487">
          <cell r="C487">
            <v>39433</v>
          </cell>
          <cell r="D487" t="str">
            <v>S.70</v>
          </cell>
        </row>
        <row r="488">
          <cell r="C488">
            <v>39434</v>
          </cell>
          <cell r="D488" t="str">
            <v>S.70</v>
          </cell>
        </row>
        <row r="489">
          <cell r="C489">
            <v>39435</v>
          </cell>
          <cell r="D489" t="str">
            <v>S.70</v>
          </cell>
        </row>
        <row r="490">
          <cell r="C490">
            <v>39436</v>
          </cell>
          <cell r="D490" t="str">
            <v>S.70</v>
          </cell>
        </row>
        <row r="491">
          <cell r="C491">
            <v>39437</v>
          </cell>
          <cell r="D491" t="str">
            <v>S.70</v>
          </cell>
        </row>
        <row r="492">
          <cell r="C492">
            <v>39438</v>
          </cell>
          <cell r="D492" t="str">
            <v>S.70</v>
          </cell>
        </row>
        <row r="493">
          <cell r="C493">
            <v>39439</v>
          </cell>
          <cell r="D493" t="str">
            <v>S.70</v>
          </cell>
        </row>
        <row r="494">
          <cell r="C494">
            <v>39440</v>
          </cell>
          <cell r="D494" t="str">
            <v>S.71</v>
          </cell>
        </row>
        <row r="495">
          <cell r="C495">
            <v>39441</v>
          </cell>
          <cell r="D495" t="str">
            <v>S.71</v>
          </cell>
        </row>
        <row r="496">
          <cell r="C496">
            <v>39442</v>
          </cell>
          <cell r="D496" t="str">
            <v>S.71</v>
          </cell>
        </row>
        <row r="497">
          <cell r="C497">
            <v>39443</v>
          </cell>
          <cell r="D497" t="str">
            <v>S.71</v>
          </cell>
        </row>
        <row r="498">
          <cell r="C498">
            <v>39444</v>
          </cell>
          <cell r="D498" t="str">
            <v>S.71</v>
          </cell>
        </row>
        <row r="499">
          <cell r="C499">
            <v>39445</v>
          </cell>
          <cell r="D499" t="str">
            <v>S.71</v>
          </cell>
        </row>
        <row r="500">
          <cell r="C500">
            <v>39446</v>
          </cell>
          <cell r="D500" t="str">
            <v>S.71</v>
          </cell>
        </row>
        <row r="501">
          <cell r="C501">
            <v>39447</v>
          </cell>
          <cell r="D501" t="str">
            <v>S.72</v>
          </cell>
        </row>
        <row r="502">
          <cell r="C502">
            <v>39448</v>
          </cell>
          <cell r="D502" t="str">
            <v>S.72</v>
          </cell>
        </row>
        <row r="503">
          <cell r="C503">
            <v>39449</v>
          </cell>
          <cell r="D503" t="str">
            <v>S.72</v>
          </cell>
        </row>
        <row r="504">
          <cell r="C504">
            <v>39450</v>
          </cell>
          <cell r="D504" t="str">
            <v>S.72</v>
          </cell>
        </row>
        <row r="505">
          <cell r="C505">
            <v>39451</v>
          </cell>
          <cell r="D505" t="str">
            <v>S.72</v>
          </cell>
        </row>
        <row r="506">
          <cell r="C506">
            <v>39452</v>
          </cell>
          <cell r="D506" t="str">
            <v>S.72</v>
          </cell>
        </row>
        <row r="507">
          <cell r="C507">
            <v>39453</v>
          </cell>
          <cell r="D507" t="str">
            <v>S.72</v>
          </cell>
        </row>
        <row r="508">
          <cell r="C508">
            <v>39454</v>
          </cell>
          <cell r="D508" t="str">
            <v>S.73</v>
          </cell>
        </row>
        <row r="509">
          <cell r="C509">
            <v>39455</v>
          </cell>
          <cell r="D509" t="str">
            <v>S.73</v>
          </cell>
        </row>
        <row r="510">
          <cell r="C510">
            <v>39456</v>
          </cell>
          <cell r="D510" t="str">
            <v>S.73</v>
          </cell>
        </row>
        <row r="511">
          <cell r="C511">
            <v>39457</v>
          </cell>
          <cell r="D511" t="str">
            <v>S.73</v>
          </cell>
        </row>
        <row r="512">
          <cell r="C512">
            <v>39458</v>
          </cell>
          <cell r="D512" t="str">
            <v>S.73</v>
          </cell>
        </row>
        <row r="513">
          <cell r="C513">
            <v>39459</v>
          </cell>
          <cell r="D513" t="str">
            <v>S.73</v>
          </cell>
        </row>
        <row r="514">
          <cell r="C514">
            <v>39460</v>
          </cell>
          <cell r="D514" t="str">
            <v>S.73</v>
          </cell>
        </row>
        <row r="515">
          <cell r="C515">
            <v>39461</v>
          </cell>
          <cell r="D515" t="str">
            <v>S.74</v>
          </cell>
        </row>
        <row r="516">
          <cell r="C516">
            <v>39462</v>
          </cell>
          <cell r="D516" t="str">
            <v>S.74</v>
          </cell>
        </row>
        <row r="517">
          <cell r="C517">
            <v>39463</v>
          </cell>
          <cell r="D517" t="str">
            <v>S.74</v>
          </cell>
        </row>
        <row r="518">
          <cell r="C518">
            <v>39464</v>
          </cell>
          <cell r="D518" t="str">
            <v>S.74</v>
          </cell>
        </row>
        <row r="519">
          <cell r="C519">
            <v>39465</v>
          </cell>
          <cell r="D519" t="str">
            <v>S.74</v>
          </cell>
        </row>
        <row r="520">
          <cell r="C520">
            <v>39466</v>
          </cell>
          <cell r="D520" t="str">
            <v>S.74</v>
          </cell>
        </row>
        <row r="521">
          <cell r="C521">
            <v>39467</v>
          </cell>
          <cell r="D521" t="str">
            <v>S.74</v>
          </cell>
        </row>
        <row r="522">
          <cell r="C522">
            <v>39468</v>
          </cell>
          <cell r="D522" t="str">
            <v>S.75</v>
          </cell>
        </row>
        <row r="523">
          <cell r="C523">
            <v>39469</v>
          </cell>
          <cell r="D523" t="str">
            <v>S.75</v>
          </cell>
        </row>
        <row r="524">
          <cell r="C524">
            <v>39470</v>
          </cell>
          <cell r="D524" t="str">
            <v>S.75</v>
          </cell>
        </row>
        <row r="525">
          <cell r="C525">
            <v>39471</v>
          </cell>
          <cell r="D525" t="str">
            <v>S.75</v>
          </cell>
        </row>
        <row r="526">
          <cell r="C526">
            <v>39472</v>
          </cell>
          <cell r="D526" t="str">
            <v>S.75</v>
          </cell>
        </row>
        <row r="527">
          <cell r="C527">
            <v>39473</v>
          </cell>
          <cell r="D527" t="str">
            <v>S.75</v>
          </cell>
        </row>
        <row r="528">
          <cell r="C528">
            <v>39474</v>
          </cell>
          <cell r="D528" t="str">
            <v>S.75</v>
          </cell>
        </row>
        <row r="529">
          <cell r="C529">
            <v>39475</v>
          </cell>
          <cell r="D529" t="str">
            <v>S.76</v>
          </cell>
        </row>
        <row r="530">
          <cell r="C530">
            <v>39476</v>
          </cell>
          <cell r="D530" t="str">
            <v>S.76</v>
          </cell>
        </row>
        <row r="531">
          <cell r="C531">
            <v>39477</v>
          </cell>
          <cell r="D531" t="str">
            <v>S.76</v>
          </cell>
        </row>
        <row r="532">
          <cell r="C532">
            <v>39478</v>
          </cell>
          <cell r="D532" t="str">
            <v>S.76</v>
          </cell>
        </row>
        <row r="533">
          <cell r="C533">
            <v>39479</v>
          </cell>
          <cell r="D533" t="str">
            <v>S.76</v>
          </cell>
        </row>
        <row r="534">
          <cell r="C534">
            <v>39480</v>
          </cell>
          <cell r="D534" t="str">
            <v>S.76</v>
          </cell>
        </row>
        <row r="535">
          <cell r="C535">
            <v>39481</v>
          </cell>
          <cell r="D535" t="str">
            <v>S.76</v>
          </cell>
        </row>
      </sheetData>
      <sheetData sheetId="14" refreshError="1">
        <row r="3">
          <cell r="B3" t="str">
            <v>DATA</v>
          </cell>
          <cell r="C3" t="str">
            <v>MÊS</v>
          </cell>
        </row>
        <row r="4">
          <cell r="B4">
            <v>38353</v>
          </cell>
          <cell r="C4">
            <v>1</v>
          </cell>
        </row>
        <row r="5">
          <cell r="B5">
            <v>38354</v>
          </cell>
          <cell r="C5">
            <v>1</v>
          </cell>
        </row>
        <row r="6">
          <cell r="B6">
            <v>38355</v>
          </cell>
          <cell r="C6">
            <v>1</v>
          </cell>
        </row>
        <row r="7">
          <cell r="B7">
            <v>38356</v>
          </cell>
          <cell r="C7">
            <v>1</v>
          </cell>
        </row>
        <row r="8">
          <cell r="B8">
            <v>38357</v>
          </cell>
          <cell r="C8">
            <v>1</v>
          </cell>
        </row>
        <row r="9">
          <cell r="B9">
            <v>38358</v>
          </cell>
          <cell r="C9">
            <v>1</v>
          </cell>
        </row>
        <row r="10">
          <cell r="B10">
            <v>38359</v>
          </cell>
          <cell r="C10">
            <v>1</v>
          </cell>
        </row>
        <row r="11">
          <cell r="B11">
            <v>38360</v>
          </cell>
          <cell r="C11">
            <v>1</v>
          </cell>
        </row>
        <row r="12">
          <cell r="B12">
            <v>38361</v>
          </cell>
          <cell r="C12">
            <v>1</v>
          </cell>
        </row>
        <row r="13">
          <cell r="B13">
            <v>38362</v>
          </cell>
          <cell r="C13">
            <v>1</v>
          </cell>
        </row>
        <row r="14">
          <cell r="B14">
            <v>38363</v>
          </cell>
          <cell r="C14">
            <v>1</v>
          </cell>
        </row>
        <row r="15">
          <cell r="B15">
            <v>38364</v>
          </cell>
          <cell r="C15">
            <v>1</v>
          </cell>
        </row>
        <row r="16">
          <cell r="B16">
            <v>38365</v>
          </cell>
          <cell r="C16">
            <v>1</v>
          </cell>
        </row>
        <row r="17">
          <cell r="B17">
            <v>38366</v>
          </cell>
          <cell r="C17">
            <v>1</v>
          </cell>
        </row>
        <row r="18">
          <cell r="B18">
            <v>38367</v>
          </cell>
          <cell r="C18">
            <v>1</v>
          </cell>
        </row>
        <row r="19">
          <cell r="B19">
            <v>38368</v>
          </cell>
          <cell r="C19">
            <v>1</v>
          </cell>
        </row>
        <row r="20">
          <cell r="B20">
            <v>38369</v>
          </cell>
          <cell r="C20">
            <v>1</v>
          </cell>
        </row>
        <row r="21">
          <cell r="B21">
            <v>38370</v>
          </cell>
          <cell r="C21">
            <v>1</v>
          </cell>
        </row>
        <row r="22">
          <cell r="B22">
            <v>38371</v>
          </cell>
          <cell r="C22">
            <v>1</v>
          </cell>
        </row>
        <row r="23">
          <cell r="B23">
            <v>38372</v>
          </cell>
          <cell r="C23">
            <v>1</v>
          </cell>
        </row>
        <row r="24">
          <cell r="B24">
            <v>38373</v>
          </cell>
          <cell r="C24">
            <v>1</v>
          </cell>
        </row>
        <row r="25">
          <cell r="B25">
            <v>38374</v>
          </cell>
          <cell r="C25">
            <v>1</v>
          </cell>
        </row>
        <row r="26">
          <cell r="B26">
            <v>38375</v>
          </cell>
          <cell r="C26">
            <v>1</v>
          </cell>
        </row>
        <row r="27">
          <cell r="B27">
            <v>38376</v>
          </cell>
          <cell r="C27">
            <v>1</v>
          </cell>
        </row>
        <row r="28">
          <cell r="B28">
            <v>38377</v>
          </cell>
          <cell r="C28">
            <v>1</v>
          </cell>
        </row>
        <row r="29">
          <cell r="B29">
            <v>38378</v>
          </cell>
          <cell r="C29">
            <v>1</v>
          </cell>
        </row>
        <row r="30">
          <cell r="B30">
            <v>38379</v>
          </cell>
          <cell r="C30">
            <v>1</v>
          </cell>
        </row>
        <row r="31">
          <cell r="B31">
            <v>38380</v>
          </cell>
          <cell r="C31">
            <v>1</v>
          </cell>
        </row>
        <row r="32">
          <cell r="B32">
            <v>38381</v>
          </cell>
          <cell r="C32">
            <v>1</v>
          </cell>
        </row>
        <row r="33">
          <cell r="B33">
            <v>38382</v>
          </cell>
          <cell r="C33">
            <v>1</v>
          </cell>
        </row>
        <row r="34">
          <cell r="B34">
            <v>38383</v>
          </cell>
          <cell r="C34">
            <v>1</v>
          </cell>
        </row>
        <row r="35">
          <cell r="B35">
            <v>38384</v>
          </cell>
          <cell r="C35">
            <v>2</v>
          </cell>
        </row>
        <row r="36">
          <cell r="B36">
            <v>38385</v>
          </cell>
          <cell r="C36">
            <v>2</v>
          </cell>
        </row>
        <row r="37">
          <cell r="B37">
            <v>38386</v>
          </cell>
          <cell r="C37">
            <v>2</v>
          </cell>
        </row>
        <row r="38">
          <cell r="B38">
            <v>38387</v>
          </cell>
          <cell r="C38">
            <v>2</v>
          </cell>
        </row>
        <row r="39">
          <cell r="B39">
            <v>38388</v>
          </cell>
          <cell r="C39">
            <v>2</v>
          </cell>
        </row>
        <row r="40">
          <cell r="B40">
            <v>38389</v>
          </cell>
          <cell r="C40">
            <v>2</v>
          </cell>
        </row>
        <row r="41">
          <cell r="B41">
            <v>38390</v>
          </cell>
          <cell r="C41">
            <v>2</v>
          </cell>
        </row>
        <row r="42">
          <cell r="B42">
            <v>38391</v>
          </cell>
          <cell r="C42">
            <v>2</v>
          </cell>
        </row>
        <row r="43">
          <cell r="B43">
            <v>38392</v>
          </cell>
          <cell r="C43">
            <v>2</v>
          </cell>
        </row>
        <row r="44">
          <cell r="B44">
            <v>38393</v>
          </cell>
          <cell r="C44">
            <v>2</v>
          </cell>
        </row>
        <row r="45">
          <cell r="B45">
            <v>38394</v>
          </cell>
          <cell r="C45">
            <v>2</v>
          </cell>
        </row>
        <row r="46">
          <cell r="B46">
            <v>38395</v>
          </cell>
          <cell r="C46">
            <v>2</v>
          </cell>
        </row>
        <row r="47">
          <cell r="B47">
            <v>38396</v>
          </cell>
          <cell r="C47">
            <v>2</v>
          </cell>
        </row>
        <row r="48">
          <cell r="B48">
            <v>38397</v>
          </cell>
          <cell r="C48">
            <v>2</v>
          </cell>
        </row>
        <row r="49">
          <cell r="B49">
            <v>38398</v>
          </cell>
          <cell r="C49">
            <v>2</v>
          </cell>
        </row>
        <row r="50">
          <cell r="B50">
            <v>38399</v>
          </cell>
          <cell r="C50">
            <v>2</v>
          </cell>
        </row>
        <row r="51">
          <cell r="B51">
            <v>38400</v>
          </cell>
          <cell r="C51">
            <v>2</v>
          </cell>
        </row>
        <row r="52">
          <cell r="B52">
            <v>38401</v>
          </cell>
          <cell r="C52">
            <v>2</v>
          </cell>
        </row>
        <row r="53">
          <cell r="B53">
            <v>38402</v>
          </cell>
          <cell r="C53">
            <v>2</v>
          </cell>
        </row>
        <row r="54">
          <cell r="B54">
            <v>38403</v>
          </cell>
          <cell r="C54">
            <v>2</v>
          </cell>
        </row>
        <row r="55">
          <cell r="B55">
            <v>38404</v>
          </cell>
          <cell r="C55">
            <v>2</v>
          </cell>
        </row>
        <row r="56">
          <cell r="B56">
            <v>38405</v>
          </cell>
          <cell r="C56">
            <v>2</v>
          </cell>
        </row>
        <row r="57">
          <cell r="B57">
            <v>38406</v>
          </cell>
          <cell r="C57">
            <v>2</v>
          </cell>
        </row>
        <row r="58">
          <cell r="B58">
            <v>38407</v>
          </cell>
          <cell r="C58">
            <v>2</v>
          </cell>
        </row>
        <row r="59">
          <cell r="B59">
            <v>38408</v>
          </cell>
          <cell r="C59">
            <v>2</v>
          </cell>
        </row>
        <row r="60">
          <cell r="B60">
            <v>38409</v>
          </cell>
          <cell r="C60">
            <v>2</v>
          </cell>
        </row>
        <row r="61">
          <cell r="B61">
            <v>38410</v>
          </cell>
          <cell r="C61">
            <v>2</v>
          </cell>
        </row>
        <row r="62">
          <cell r="B62">
            <v>38411</v>
          </cell>
          <cell r="C62">
            <v>2</v>
          </cell>
        </row>
        <row r="63">
          <cell r="B63">
            <v>38412</v>
          </cell>
          <cell r="C63">
            <v>3</v>
          </cell>
        </row>
        <row r="64">
          <cell r="B64">
            <v>38413</v>
          </cell>
          <cell r="C64">
            <v>3</v>
          </cell>
        </row>
        <row r="65">
          <cell r="B65">
            <v>38414</v>
          </cell>
          <cell r="C65">
            <v>3</v>
          </cell>
        </row>
        <row r="66">
          <cell r="B66">
            <v>38415</v>
          </cell>
          <cell r="C66">
            <v>3</v>
          </cell>
        </row>
        <row r="67">
          <cell r="B67">
            <v>38416</v>
          </cell>
          <cell r="C67">
            <v>3</v>
          </cell>
        </row>
        <row r="68">
          <cell r="B68">
            <v>38417</v>
          </cell>
          <cell r="C68">
            <v>3</v>
          </cell>
        </row>
        <row r="69">
          <cell r="B69">
            <v>38418</v>
          </cell>
          <cell r="C69">
            <v>3</v>
          </cell>
        </row>
        <row r="70">
          <cell r="B70">
            <v>38419</v>
          </cell>
          <cell r="C70">
            <v>3</v>
          </cell>
        </row>
        <row r="71">
          <cell r="B71">
            <v>38420</v>
          </cell>
          <cell r="C71">
            <v>3</v>
          </cell>
        </row>
        <row r="72">
          <cell r="B72">
            <v>38421</v>
          </cell>
          <cell r="C72">
            <v>3</v>
          </cell>
        </row>
        <row r="73">
          <cell r="B73">
            <v>38422</v>
          </cell>
          <cell r="C73">
            <v>3</v>
          </cell>
        </row>
        <row r="74">
          <cell r="B74">
            <v>38423</v>
          </cell>
          <cell r="C74">
            <v>3</v>
          </cell>
        </row>
        <row r="75">
          <cell r="B75">
            <v>38424</v>
          </cell>
          <cell r="C75">
            <v>3</v>
          </cell>
        </row>
        <row r="76">
          <cell r="B76">
            <v>38425</v>
          </cell>
          <cell r="C76">
            <v>3</v>
          </cell>
        </row>
        <row r="77">
          <cell r="B77">
            <v>38426</v>
          </cell>
          <cell r="C77">
            <v>3</v>
          </cell>
        </row>
        <row r="78">
          <cell r="B78">
            <v>38427</v>
          </cell>
          <cell r="C78">
            <v>3</v>
          </cell>
        </row>
        <row r="79">
          <cell r="B79">
            <v>38428</v>
          </cell>
          <cell r="C79">
            <v>3</v>
          </cell>
        </row>
        <row r="80">
          <cell r="B80">
            <v>38429</v>
          </cell>
          <cell r="C80">
            <v>3</v>
          </cell>
        </row>
        <row r="81">
          <cell r="B81">
            <v>38430</v>
          </cell>
          <cell r="C81">
            <v>3</v>
          </cell>
        </row>
        <row r="82">
          <cell r="B82">
            <v>38431</v>
          </cell>
          <cell r="C82">
            <v>3</v>
          </cell>
        </row>
        <row r="83">
          <cell r="B83">
            <v>38432</v>
          </cell>
          <cell r="C83">
            <v>3</v>
          </cell>
        </row>
        <row r="84">
          <cell r="B84">
            <v>38433</v>
          </cell>
          <cell r="C84">
            <v>3</v>
          </cell>
        </row>
        <row r="85">
          <cell r="B85">
            <v>38434</v>
          </cell>
          <cell r="C85">
            <v>3</v>
          </cell>
        </row>
        <row r="86">
          <cell r="B86">
            <v>38435</v>
          </cell>
          <cell r="C86">
            <v>3</v>
          </cell>
        </row>
        <row r="87">
          <cell r="B87">
            <v>38436</v>
          </cell>
          <cell r="C87">
            <v>3</v>
          </cell>
        </row>
        <row r="88">
          <cell r="B88">
            <v>38437</v>
          </cell>
          <cell r="C88">
            <v>3</v>
          </cell>
        </row>
        <row r="89">
          <cell r="B89">
            <v>38438</v>
          </cell>
          <cell r="C89">
            <v>3</v>
          </cell>
        </row>
        <row r="90">
          <cell r="B90">
            <v>38439</v>
          </cell>
          <cell r="C90">
            <v>3</v>
          </cell>
        </row>
        <row r="91">
          <cell r="B91">
            <v>38440</v>
          </cell>
          <cell r="C91">
            <v>3</v>
          </cell>
        </row>
        <row r="92">
          <cell r="B92">
            <v>38441</v>
          </cell>
          <cell r="C92">
            <v>3</v>
          </cell>
        </row>
        <row r="93">
          <cell r="B93">
            <v>38442</v>
          </cell>
          <cell r="C93">
            <v>3</v>
          </cell>
        </row>
        <row r="94">
          <cell r="B94">
            <v>38443</v>
          </cell>
          <cell r="C94">
            <v>4</v>
          </cell>
        </row>
        <row r="95">
          <cell r="B95">
            <v>38444</v>
          </cell>
          <cell r="C95">
            <v>4</v>
          </cell>
        </row>
        <row r="96">
          <cell r="B96">
            <v>38445</v>
          </cell>
          <cell r="C96">
            <v>4</v>
          </cell>
        </row>
        <row r="97">
          <cell r="B97">
            <v>38446</v>
          </cell>
          <cell r="C97">
            <v>4</v>
          </cell>
        </row>
        <row r="98">
          <cell r="B98">
            <v>38447</v>
          </cell>
          <cell r="C98">
            <v>4</v>
          </cell>
        </row>
        <row r="99">
          <cell r="B99">
            <v>38448</v>
          </cell>
          <cell r="C99">
            <v>4</v>
          </cell>
        </row>
        <row r="100">
          <cell r="B100">
            <v>38449</v>
          </cell>
          <cell r="C100">
            <v>4</v>
          </cell>
        </row>
        <row r="101">
          <cell r="B101">
            <v>38450</v>
          </cell>
          <cell r="C101">
            <v>4</v>
          </cell>
        </row>
        <row r="102">
          <cell r="B102">
            <v>38451</v>
          </cell>
          <cell r="C102">
            <v>4</v>
          </cell>
        </row>
        <row r="103">
          <cell r="B103">
            <v>38452</v>
          </cell>
          <cell r="C103">
            <v>4</v>
          </cell>
        </row>
        <row r="104">
          <cell r="B104">
            <v>38453</v>
          </cell>
          <cell r="C104">
            <v>4</v>
          </cell>
        </row>
        <row r="105">
          <cell r="B105">
            <v>38454</v>
          </cell>
          <cell r="C105">
            <v>4</v>
          </cell>
        </row>
        <row r="106">
          <cell r="B106">
            <v>38455</v>
          </cell>
          <cell r="C106">
            <v>4</v>
          </cell>
        </row>
        <row r="107">
          <cell r="B107">
            <v>38456</v>
          </cell>
          <cell r="C107">
            <v>4</v>
          </cell>
        </row>
        <row r="108">
          <cell r="B108">
            <v>38457</v>
          </cell>
          <cell r="C108">
            <v>4</v>
          </cell>
        </row>
        <row r="109">
          <cell r="B109">
            <v>38458</v>
          </cell>
          <cell r="C109">
            <v>4</v>
          </cell>
        </row>
        <row r="110">
          <cell r="B110">
            <v>38459</v>
          </cell>
          <cell r="C110">
            <v>4</v>
          </cell>
        </row>
        <row r="111">
          <cell r="B111">
            <v>38460</v>
          </cell>
          <cell r="C111">
            <v>4</v>
          </cell>
        </row>
        <row r="112">
          <cell r="B112">
            <v>38461</v>
          </cell>
          <cell r="C112">
            <v>4</v>
          </cell>
        </row>
        <row r="113">
          <cell r="B113">
            <v>38462</v>
          </cell>
          <cell r="C113">
            <v>4</v>
          </cell>
        </row>
        <row r="114">
          <cell r="B114">
            <v>38463</v>
          </cell>
          <cell r="C114">
            <v>4</v>
          </cell>
        </row>
        <row r="115">
          <cell r="B115">
            <v>38464</v>
          </cell>
          <cell r="C115">
            <v>4</v>
          </cell>
        </row>
        <row r="116">
          <cell r="B116">
            <v>38465</v>
          </cell>
          <cell r="C116">
            <v>4</v>
          </cell>
        </row>
        <row r="117">
          <cell r="B117">
            <v>38466</v>
          </cell>
          <cell r="C117">
            <v>4</v>
          </cell>
        </row>
        <row r="118">
          <cell r="B118">
            <v>38467</v>
          </cell>
          <cell r="C118">
            <v>4</v>
          </cell>
        </row>
        <row r="119">
          <cell r="B119">
            <v>38468</v>
          </cell>
          <cell r="C119">
            <v>4</v>
          </cell>
        </row>
        <row r="120">
          <cell r="B120">
            <v>38469</v>
          </cell>
          <cell r="C120">
            <v>4</v>
          </cell>
        </row>
        <row r="121">
          <cell r="B121">
            <v>38470</v>
          </cell>
          <cell r="C121">
            <v>4</v>
          </cell>
        </row>
        <row r="122">
          <cell r="B122">
            <v>38471</v>
          </cell>
          <cell r="C122">
            <v>4</v>
          </cell>
        </row>
        <row r="123">
          <cell r="B123">
            <v>38472</v>
          </cell>
          <cell r="C123">
            <v>4</v>
          </cell>
        </row>
        <row r="124">
          <cell r="B124">
            <v>38473</v>
          </cell>
          <cell r="C124">
            <v>5</v>
          </cell>
        </row>
        <row r="125">
          <cell r="B125">
            <v>38474</v>
          </cell>
          <cell r="C125">
            <v>5</v>
          </cell>
        </row>
        <row r="126">
          <cell r="B126">
            <v>38475</v>
          </cell>
          <cell r="C126">
            <v>5</v>
          </cell>
        </row>
        <row r="127">
          <cell r="B127">
            <v>38476</v>
          </cell>
          <cell r="C127">
            <v>5</v>
          </cell>
        </row>
        <row r="128">
          <cell r="B128">
            <v>38477</v>
          </cell>
          <cell r="C128">
            <v>5</v>
          </cell>
        </row>
        <row r="129">
          <cell r="B129">
            <v>38478</v>
          </cell>
          <cell r="C129">
            <v>5</v>
          </cell>
        </row>
        <row r="130">
          <cell r="B130">
            <v>38479</v>
          </cell>
          <cell r="C130">
            <v>5</v>
          </cell>
        </row>
        <row r="131">
          <cell r="B131">
            <v>38480</v>
          </cell>
          <cell r="C131">
            <v>5</v>
          </cell>
        </row>
        <row r="132">
          <cell r="B132">
            <v>38481</v>
          </cell>
          <cell r="C132">
            <v>5</v>
          </cell>
        </row>
        <row r="133">
          <cell r="B133">
            <v>38482</v>
          </cell>
          <cell r="C133">
            <v>5</v>
          </cell>
        </row>
        <row r="134">
          <cell r="B134">
            <v>38483</v>
          </cell>
          <cell r="C134">
            <v>5</v>
          </cell>
        </row>
        <row r="135">
          <cell r="B135">
            <v>38484</v>
          </cell>
          <cell r="C135">
            <v>5</v>
          </cell>
        </row>
        <row r="136">
          <cell r="B136">
            <v>38485</v>
          </cell>
          <cell r="C136">
            <v>5</v>
          </cell>
        </row>
        <row r="137">
          <cell r="B137">
            <v>38486</v>
          </cell>
          <cell r="C137">
            <v>5</v>
          </cell>
        </row>
        <row r="138">
          <cell r="B138">
            <v>38487</v>
          </cell>
          <cell r="C138">
            <v>5</v>
          </cell>
        </row>
        <row r="139">
          <cell r="B139">
            <v>38488</v>
          </cell>
          <cell r="C139">
            <v>5</v>
          </cell>
        </row>
        <row r="140">
          <cell r="B140">
            <v>38489</v>
          </cell>
          <cell r="C140">
            <v>5</v>
          </cell>
        </row>
        <row r="141">
          <cell r="B141">
            <v>38490</v>
          </cell>
          <cell r="C141">
            <v>5</v>
          </cell>
        </row>
        <row r="142">
          <cell r="B142">
            <v>38491</v>
          </cell>
          <cell r="C142">
            <v>5</v>
          </cell>
        </row>
        <row r="143">
          <cell r="B143">
            <v>38492</v>
          </cell>
          <cell r="C143">
            <v>5</v>
          </cell>
        </row>
        <row r="144">
          <cell r="B144">
            <v>38493</v>
          </cell>
          <cell r="C144">
            <v>5</v>
          </cell>
        </row>
        <row r="145">
          <cell r="B145">
            <v>38494</v>
          </cell>
          <cell r="C145">
            <v>5</v>
          </cell>
        </row>
        <row r="146">
          <cell r="B146">
            <v>38495</v>
          </cell>
          <cell r="C146">
            <v>5</v>
          </cell>
        </row>
        <row r="147">
          <cell r="B147">
            <v>38496</v>
          </cell>
          <cell r="C147">
            <v>5</v>
          </cell>
        </row>
        <row r="148">
          <cell r="B148">
            <v>38497</v>
          </cell>
          <cell r="C148">
            <v>5</v>
          </cell>
        </row>
        <row r="149">
          <cell r="B149">
            <v>38498</v>
          </cell>
          <cell r="C149">
            <v>5</v>
          </cell>
        </row>
        <row r="150">
          <cell r="B150">
            <v>38499</v>
          </cell>
          <cell r="C150">
            <v>5</v>
          </cell>
        </row>
        <row r="151">
          <cell r="B151">
            <v>38500</v>
          </cell>
          <cell r="C151">
            <v>5</v>
          </cell>
        </row>
        <row r="152">
          <cell r="B152">
            <v>38501</v>
          </cell>
          <cell r="C152">
            <v>5</v>
          </cell>
        </row>
        <row r="153">
          <cell r="B153">
            <v>38502</v>
          </cell>
          <cell r="C153">
            <v>5</v>
          </cell>
        </row>
        <row r="154">
          <cell r="B154">
            <v>38503</v>
          </cell>
          <cell r="C154">
            <v>5</v>
          </cell>
        </row>
        <row r="155">
          <cell r="B155">
            <v>38504</v>
          </cell>
          <cell r="C155">
            <v>6</v>
          </cell>
        </row>
        <row r="156">
          <cell r="B156">
            <v>38505</v>
          </cell>
          <cell r="C156">
            <v>6</v>
          </cell>
        </row>
        <row r="157">
          <cell r="B157">
            <v>38506</v>
          </cell>
          <cell r="C157">
            <v>6</v>
          </cell>
        </row>
        <row r="158">
          <cell r="B158">
            <v>38507</v>
          </cell>
          <cell r="C158">
            <v>6</v>
          </cell>
        </row>
        <row r="159">
          <cell r="B159">
            <v>38508</v>
          </cell>
          <cell r="C159">
            <v>6</v>
          </cell>
        </row>
        <row r="160">
          <cell r="B160">
            <v>38509</v>
          </cell>
          <cell r="C160">
            <v>6</v>
          </cell>
        </row>
        <row r="161">
          <cell r="B161">
            <v>38510</v>
          </cell>
          <cell r="C161">
            <v>6</v>
          </cell>
        </row>
        <row r="162">
          <cell r="B162">
            <v>38511</v>
          </cell>
          <cell r="C162">
            <v>6</v>
          </cell>
        </row>
        <row r="163">
          <cell r="B163">
            <v>38512</v>
          </cell>
          <cell r="C163">
            <v>6</v>
          </cell>
        </row>
        <row r="164">
          <cell r="B164">
            <v>38513</v>
          </cell>
          <cell r="C164">
            <v>6</v>
          </cell>
        </row>
        <row r="165">
          <cell r="B165">
            <v>38514</v>
          </cell>
          <cell r="C165">
            <v>6</v>
          </cell>
        </row>
        <row r="166">
          <cell r="B166">
            <v>38515</v>
          </cell>
          <cell r="C166">
            <v>6</v>
          </cell>
        </row>
        <row r="167">
          <cell r="B167">
            <v>38516</v>
          </cell>
          <cell r="C167">
            <v>6</v>
          </cell>
        </row>
        <row r="168">
          <cell r="B168">
            <v>38517</v>
          </cell>
          <cell r="C168">
            <v>6</v>
          </cell>
        </row>
        <row r="169">
          <cell r="B169">
            <v>38518</v>
          </cell>
          <cell r="C169">
            <v>6</v>
          </cell>
        </row>
        <row r="170">
          <cell r="B170">
            <v>38519</v>
          </cell>
          <cell r="C170">
            <v>6</v>
          </cell>
        </row>
        <row r="171">
          <cell r="B171">
            <v>38520</v>
          </cell>
          <cell r="C171">
            <v>6</v>
          </cell>
        </row>
        <row r="172">
          <cell r="B172">
            <v>38521</v>
          </cell>
          <cell r="C172">
            <v>6</v>
          </cell>
        </row>
        <row r="173">
          <cell r="B173">
            <v>38522</v>
          </cell>
          <cell r="C173">
            <v>6</v>
          </cell>
        </row>
        <row r="174">
          <cell r="B174">
            <v>38523</v>
          </cell>
          <cell r="C174">
            <v>6</v>
          </cell>
        </row>
        <row r="175">
          <cell r="B175">
            <v>38524</v>
          </cell>
          <cell r="C175">
            <v>6</v>
          </cell>
        </row>
        <row r="176">
          <cell r="B176">
            <v>38525</v>
          </cell>
          <cell r="C176">
            <v>6</v>
          </cell>
        </row>
        <row r="177">
          <cell r="B177">
            <v>38526</v>
          </cell>
          <cell r="C177">
            <v>6</v>
          </cell>
        </row>
        <row r="178">
          <cell r="B178">
            <v>38527</v>
          </cell>
          <cell r="C178">
            <v>6</v>
          </cell>
        </row>
        <row r="179">
          <cell r="B179">
            <v>38528</v>
          </cell>
          <cell r="C179">
            <v>6</v>
          </cell>
        </row>
        <row r="180">
          <cell r="B180">
            <v>38529</v>
          </cell>
          <cell r="C180">
            <v>6</v>
          </cell>
        </row>
        <row r="181">
          <cell r="B181">
            <v>38530</v>
          </cell>
          <cell r="C181">
            <v>6</v>
          </cell>
        </row>
        <row r="182">
          <cell r="B182">
            <v>38531</v>
          </cell>
          <cell r="C182">
            <v>6</v>
          </cell>
        </row>
        <row r="183">
          <cell r="B183">
            <v>38532</v>
          </cell>
          <cell r="C183">
            <v>6</v>
          </cell>
        </row>
        <row r="184">
          <cell r="B184">
            <v>38533</v>
          </cell>
          <cell r="C184">
            <v>6</v>
          </cell>
        </row>
        <row r="185">
          <cell r="B185">
            <v>38534</v>
          </cell>
          <cell r="C185">
            <v>7</v>
          </cell>
        </row>
        <row r="186">
          <cell r="B186">
            <v>38535</v>
          </cell>
          <cell r="C186">
            <v>7</v>
          </cell>
        </row>
        <row r="187">
          <cell r="B187">
            <v>38536</v>
          </cell>
          <cell r="C187">
            <v>7</v>
          </cell>
        </row>
        <row r="188">
          <cell r="B188">
            <v>38537</v>
          </cell>
          <cell r="C188">
            <v>7</v>
          </cell>
        </row>
        <row r="189">
          <cell r="B189">
            <v>38538</v>
          </cell>
          <cell r="C189">
            <v>7</v>
          </cell>
        </row>
        <row r="190">
          <cell r="B190">
            <v>38539</v>
          </cell>
          <cell r="C190">
            <v>7</v>
          </cell>
        </row>
        <row r="191">
          <cell r="B191">
            <v>38540</v>
          </cell>
          <cell r="C191">
            <v>7</v>
          </cell>
        </row>
        <row r="192">
          <cell r="B192">
            <v>38541</v>
          </cell>
          <cell r="C192">
            <v>7</v>
          </cell>
        </row>
        <row r="193">
          <cell r="B193">
            <v>38542</v>
          </cell>
          <cell r="C193">
            <v>7</v>
          </cell>
        </row>
        <row r="194">
          <cell r="B194">
            <v>38543</v>
          </cell>
          <cell r="C194">
            <v>7</v>
          </cell>
        </row>
        <row r="195">
          <cell r="B195">
            <v>38544</v>
          </cell>
          <cell r="C195">
            <v>7</v>
          </cell>
        </row>
        <row r="196">
          <cell r="B196">
            <v>38545</v>
          </cell>
          <cell r="C196">
            <v>7</v>
          </cell>
        </row>
        <row r="197">
          <cell r="B197">
            <v>38546</v>
          </cell>
          <cell r="C197">
            <v>7</v>
          </cell>
        </row>
        <row r="198">
          <cell r="B198">
            <v>38547</v>
          </cell>
          <cell r="C198">
            <v>7</v>
          </cell>
        </row>
        <row r="199">
          <cell r="B199">
            <v>38548</v>
          </cell>
          <cell r="C199">
            <v>7</v>
          </cell>
        </row>
        <row r="200">
          <cell r="B200">
            <v>38549</v>
          </cell>
          <cell r="C200">
            <v>7</v>
          </cell>
        </row>
        <row r="201">
          <cell r="B201">
            <v>38550</v>
          </cell>
          <cell r="C201">
            <v>7</v>
          </cell>
        </row>
        <row r="202">
          <cell r="B202">
            <v>38551</v>
          </cell>
          <cell r="C202">
            <v>7</v>
          </cell>
        </row>
        <row r="203">
          <cell r="B203">
            <v>38552</v>
          </cell>
          <cell r="C203">
            <v>7</v>
          </cell>
        </row>
        <row r="204">
          <cell r="B204">
            <v>38553</v>
          </cell>
          <cell r="C204">
            <v>7</v>
          </cell>
        </row>
        <row r="205">
          <cell r="B205">
            <v>38554</v>
          </cell>
          <cell r="C205">
            <v>7</v>
          </cell>
        </row>
        <row r="206">
          <cell r="B206">
            <v>38555</v>
          </cell>
          <cell r="C206">
            <v>7</v>
          </cell>
        </row>
        <row r="207">
          <cell r="B207">
            <v>38556</v>
          </cell>
          <cell r="C207">
            <v>7</v>
          </cell>
        </row>
        <row r="208">
          <cell r="B208">
            <v>38557</v>
          </cell>
          <cell r="C208">
            <v>7</v>
          </cell>
        </row>
        <row r="209">
          <cell r="B209">
            <v>38558</v>
          </cell>
          <cell r="C209">
            <v>7</v>
          </cell>
        </row>
        <row r="210">
          <cell r="B210">
            <v>38559</v>
          </cell>
          <cell r="C210">
            <v>7</v>
          </cell>
        </row>
        <row r="211">
          <cell r="B211">
            <v>38560</v>
          </cell>
          <cell r="C211">
            <v>7</v>
          </cell>
        </row>
        <row r="212">
          <cell r="B212">
            <v>38561</v>
          </cell>
          <cell r="C212">
            <v>7</v>
          </cell>
        </row>
        <row r="213">
          <cell r="B213">
            <v>38562</v>
          </cell>
          <cell r="C213">
            <v>7</v>
          </cell>
        </row>
        <row r="214">
          <cell r="B214">
            <v>38563</v>
          </cell>
          <cell r="C214">
            <v>7</v>
          </cell>
        </row>
        <row r="215">
          <cell r="B215">
            <v>38564</v>
          </cell>
          <cell r="C215">
            <v>7</v>
          </cell>
        </row>
        <row r="216">
          <cell r="B216">
            <v>38565</v>
          </cell>
          <cell r="C216">
            <v>8</v>
          </cell>
        </row>
        <row r="217">
          <cell r="B217">
            <v>38566</v>
          </cell>
          <cell r="C217">
            <v>8</v>
          </cell>
        </row>
        <row r="218">
          <cell r="B218">
            <v>38567</v>
          </cell>
          <cell r="C218">
            <v>8</v>
          </cell>
        </row>
        <row r="219">
          <cell r="B219">
            <v>38568</v>
          </cell>
          <cell r="C219">
            <v>8</v>
          </cell>
        </row>
        <row r="220">
          <cell r="B220">
            <v>38569</v>
          </cell>
          <cell r="C220">
            <v>8</v>
          </cell>
        </row>
        <row r="221">
          <cell r="B221">
            <v>38570</v>
          </cell>
          <cell r="C221">
            <v>8</v>
          </cell>
        </row>
        <row r="222">
          <cell r="B222">
            <v>38571</v>
          </cell>
          <cell r="C222">
            <v>8</v>
          </cell>
        </row>
        <row r="223">
          <cell r="B223">
            <v>38572</v>
          </cell>
          <cell r="C223">
            <v>8</v>
          </cell>
        </row>
        <row r="224">
          <cell r="B224">
            <v>38573</v>
          </cell>
          <cell r="C224">
            <v>8</v>
          </cell>
        </row>
        <row r="225">
          <cell r="B225">
            <v>38574</v>
          </cell>
          <cell r="C225">
            <v>8</v>
          </cell>
        </row>
        <row r="226">
          <cell r="B226">
            <v>38575</v>
          </cell>
          <cell r="C226">
            <v>8</v>
          </cell>
        </row>
        <row r="227">
          <cell r="B227">
            <v>38576</v>
          </cell>
          <cell r="C227">
            <v>8</v>
          </cell>
        </row>
        <row r="228">
          <cell r="B228">
            <v>38577</v>
          </cell>
          <cell r="C228">
            <v>8</v>
          </cell>
        </row>
        <row r="229">
          <cell r="B229">
            <v>38578</v>
          </cell>
          <cell r="C229">
            <v>8</v>
          </cell>
        </row>
        <row r="230">
          <cell r="B230">
            <v>38579</v>
          </cell>
          <cell r="C230">
            <v>8</v>
          </cell>
        </row>
        <row r="231">
          <cell r="B231">
            <v>38580</v>
          </cell>
          <cell r="C231">
            <v>8</v>
          </cell>
        </row>
        <row r="232">
          <cell r="B232">
            <v>38581</v>
          </cell>
          <cell r="C232">
            <v>8</v>
          </cell>
        </row>
        <row r="233">
          <cell r="B233">
            <v>38582</v>
          </cell>
          <cell r="C233">
            <v>8</v>
          </cell>
        </row>
        <row r="234">
          <cell r="B234">
            <v>38583</v>
          </cell>
          <cell r="C234">
            <v>8</v>
          </cell>
        </row>
        <row r="235">
          <cell r="B235">
            <v>38584</v>
          </cell>
          <cell r="C235">
            <v>8</v>
          </cell>
        </row>
        <row r="236">
          <cell r="B236">
            <v>38585</v>
          </cell>
          <cell r="C236">
            <v>8</v>
          </cell>
        </row>
        <row r="237">
          <cell r="B237">
            <v>38586</v>
          </cell>
          <cell r="C237">
            <v>8</v>
          </cell>
        </row>
        <row r="238">
          <cell r="B238">
            <v>38587</v>
          </cell>
          <cell r="C238">
            <v>8</v>
          </cell>
        </row>
        <row r="239">
          <cell r="B239">
            <v>38588</v>
          </cell>
          <cell r="C239">
            <v>8</v>
          </cell>
        </row>
        <row r="240">
          <cell r="B240">
            <v>38589</v>
          </cell>
          <cell r="C240">
            <v>8</v>
          </cell>
        </row>
        <row r="241">
          <cell r="B241">
            <v>38590</v>
          </cell>
          <cell r="C241">
            <v>8</v>
          </cell>
        </row>
        <row r="242">
          <cell r="B242">
            <v>38591</v>
          </cell>
          <cell r="C242">
            <v>8</v>
          </cell>
        </row>
        <row r="243">
          <cell r="B243">
            <v>38592</v>
          </cell>
          <cell r="C243">
            <v>8</v>
          </cell>
        </row>
        <row r="244">
          <cell r="B244">
            <v>38593</v>
          </cell>
          <cell r="C244">
            <v>8</v>
          </cell>
        </row>
        <row r="245">
          <cell r="B245">
            <v>38594</v>
          </cell>
          <cell r="C245">
            <v>8</v>
          </cell>
        </row>
        <row r="246">
          <cell r="B246">
            <v>38595</v>
          </cell>
          <cell r="C246">
            <v>8</v>
          </cell>
        </row>
        <row r="247">
          <cell r="B247">
            <v>38596</v>
          </cell>
          <cell r="C247">
            <v>9</v>
          </cell>
        </row>
        <row r="248">
          <cell r="B248">
            <v>38597</v>
          </cell>
          <cell r="C248">
            <v>9</v>
          </cell>
        </row>
        <row r="249">
          <cell r="B249">
            <v>38598</v>
          </cell>
          <cell r="C249">
            <v>9</v>
          </cell>
        </row>
        <row r="250">
          <cell r="B250">
            <v>38599</v>
          </cell>
          <cell r="C250">
            <v>9</v>
          </cell>
        </row>
        <row r="251">
          <cell r="B251">
            <v>38600</v>
          </cell>
          <cell r="C251">
            <v>9</v>
          </cell>
        </row>
        <row r="252">
          <cell r="B252">
            <v>38601</v>
          </cell>
          <cell r="C252">
            <v>9</v>
          </cell>
        </row>
        <row r="253">
          <cell r="B253">
            <v>38602</v>
          </cell>
          <cell r="C253">
            <v>9</v>
          </cell>
        </row>
        <row r="254">
          <cell r="B254">
            <v>38603</v>
          </cell>
          <cell r="C254">
            <v>9</v>
          </cell>
        </row>
        <row r="255">
          <cell r="B255">
            <v>38604</v>
          </cell>
          <cell r="C255">
            <v>9</v>
          </cell>
        </row>
        <row r="256">
          <cell r="B256">
            <v>38605</v>
          </cell>
          <cell r="C256">
            <v>9</v>
          </cell>
        </row>
        <row r="257">
          <cell r="B257">
            <v>38606</v>
          </cell>
          <cell r="C257">
            <v>9</v>
          </cell>
        </row>
        <row r="258">
          <cell r="B258">
            <v>38607</v>
          </cell>
          <cell r="C258">
            <v>9</v>
          </cell>
        </row>
        <row r="259">
          <cell r="B259">
            <v>38608</v>
          </cell>
          <cell r="C259">
            <v>9</v>
          </cell>
        </row>
        <row r="260">
          <cell r="B260">
            <v>38609</v>
          </cell>
          <cell r="C260">
            <v>9</v>
          </cell>
        </row>
        <row r="261">
          <cell r="B261">
            <v>38610</v>
          </cell>
          <cell r="C261">
            <v>9</v>
          </cell>
        </row>
        <row r="262">
          <cell r="B262">
            <v>38611</v>
          </cell>
          <cell r="C262">
            <v>9</v>
          </cell>
        </row>
        <row r="263">
          <cell r="B263">
            <v>38612</v>
          </cell>
          <cell r="C263">
            <v>9</v>
          </cell>
        </row>
        <row r="264">
          <cell r="B264">
            <v>38613</v>
          </cell>
          <cell r="C264">
            <v>9</v>
          </cell>
        </row>
        <row r="265">
          <cell r="B265">
            <v>38614</v>
          </cell>
          <cell r="C265">
            <v>9</v>
          </cell>
        </row>
        <row r="266">
          <cell r="B266">
            <v>38615</v>
          </cell>
          <cell r="C266">
            <v>9</v>
          </cell>
        </row>
        <row r="267">
          <cell r="B267">
            <v>38616</v>
          </cell>
          <cell r="C267">
            <v>9</v>
          </cell>
        </row>
        <row r="268">
          <cell r="B268">
            <v>38617</v>
          </cell>
          <cell r="C268">
            <v>9</v>
          </cell>
        </row>
        <row r="269">
          <cell r="B269">
            <v>38618</v>
          </cell>
          <cell r="C269">
            <v>9</v>
          </cell>
        </row>
        <row r="270">
          <cell r="B270">
            <v>38619</v>
          </cell>
          <cell r="C270">
            <v>9</v>
          </cell>
        </row>
        <row r="271">
          <cell r="B271">
            <v>38620</v>
          </cell>
          <cell r="C271">
            <v>9</v>
          </cell>
        </row>
        <row r="272">
          <cell r="B272">
            <v>38621</v>
          </cell>
          <cell r="C272">
            <v>9</v>
          </cell>
        </row>
        <row r="273">
          <cell r="B273">
            <v>38622</v>
          </cell>
          <cell r="C273">
            <v>9</v>
          </cell>
        </row>
        <row r="274">
          <cell r="B274">
            <v>38623</v>
          </cell>
          <cell r="C274">
            <v>9</v>
          </cell>
        </row>
        <row r="275">
          <cell r="B275">
            <v>38624</v>
          </cell>
          <cell r="C275">
            <v>9</v>
          </cell>
        </row>
        <row r="276">
          <cell r="B276">
            <v>38625</v>
          </cell>
          <cell r="C276">
            <v>9</v>
          </cell>
        </row>
        <row r="277">
          <cell r="B277">
            <v>38626</v>
          </cell>
          <cell r="C277">
            <v>10</v>
          </cell>
        </row>
        <row r="278">
          <cell r="B278">
            <v>38627</v>
          </cell>
          <cell r="C278">
            <v>10</v>
          </cell>
        </row>
        <row r="279">
          <cell r="B279">
            <v>38628</v>
          </cell>
          <cell r="C279">
            <v>10</v>
          </cell>
        </row>
        <row r="280">
          <cell r="B280">
            <v>38629</v>
          </cell>
          <cell r="C280">
            <v>10</v>
          </cell>
        </row>
        <row r="281">
          <cell r="B281">
            <v>38630</v>
          </cell>
          <cell r="C281">
            <v>10</v>
          </cell>
        </row>
        <row r="282">
          <cell r="B282">
            <v>38631</v>
          </cell>
          <cell r="C282">
            <v>10</v>
          </cell>
        </row>
        <row r="283">
          <cell r="B283">
            <v>38632</v>
          </cell>
          <cell r="C283">
            <v>10</v>
          </cell>
        </row>
        <row r="284">
          <cell r="B284">
            <v>38633</v>
          </cell>
          <cell r="C284">
            <v>10</v>
          </cell>
        </row>
        <row r="285">
          <cell r="B285">
            <v>38634</v>
          </cell>
          <cell r="C285">
            <v>10</v>
          </cell>
        </row>
        <row r="286">
          <cell r="B286">
            <v>38635</v>
          </cell>
          <cell r="C286">
            <v>10</v>
          </cell>
        </row>
        <row r="287">
          <cell r="B287">
            <v>38636</v>
          </cell>
          <cell r="C287">
            <v>10</v>
          </cell>
        </row>
        <row r="288">
          <cell r="B288">
            <v>38637</v>
          </cell>
          <cell r="C288">
            <v>10</v>
          </cell>
        </row>
        <row r="289">
          <cell r="B289">
            <v>38638</v>
          </cell>
          <cell r="C289">
            <v>10</v>
          </cell>
        </row>
        <row r="290">
          <cell r="B290">
            <v>38639</v>
          </cell>
          <cell r="C290">
            <v>10</v>
          </cell>
        </row>
        <row r="291">
          <cell r="B291">
            <v>38640</v>
          </cell>
          <cell r="C291">
            <v>10</v>
          </cell>
        </row>
        <row r="292">
          <cell r="B292">
            <v>38641</v>
          </cell>
          <cell r="C292">
            <v>10</v>
          </cell>
        </row>
        <row r="293">
          <cell r="B293">
            <v>38642</v>
          </cell>
          <cell r="C293">
            <v>10</v>
          </cell>
        </row>
        <row r="294">
          <cell r="B294">
            <v>38643</v>
          </cell>
          <cell r="C294">
            <v>10</v>
          </cell>
        </row>
        <row r="295">
          <cell r="B295">
            <v>38644</v>
          </cell>
          <cell r="C295">
            <v>10</v>
          </cell>
        </row>
        <row r="296">
          <cell r="B296">
            <v>38645</v>
          </cell>
          <cell r="C296">
            <v>10</v>
          </cell>
        </row>
        <row r="297">
          <cell r="B297">
            <v>38646</v>
          </cell>
          <cell r="C297">
            <v>10</v>
          </cell>
        </row>
        <row r="298">
          <cell r="B298">
            <v>38647</v>
          </cell>
          <cell r="C298">
            <v>10</v>
          </cell>
        </row>
        <row r="299">
          <cell r="B299">
            <v>38648</v>
          </cell>
          <cell r="C299">
            <v>10</v>
          </cell>
        </row>
        <row r="300">
          <cell r="B300">
            <v>38649</v>
          </cell>
          <cell r="C300">
            <v>10</v>
          </cell>
        </row>
        <row r="301">
          <cell r="B301">
            <v>38650</v>
          </cell>
          <cell r="C301">
            <v>10</v>
          </cell>
        </row>
        <row r="302">
          <cell r="B302">
            <v>38651</v>
          </cell>
          <cell r="C302">
            <v>10</v>
          </cell>
        </row>
        <row r="303">
          <cell r="B303">
            <v>38652</v>
          </cell>
          <cell r="C303">
            <v>10</v>
          </cell>
        </row>
        <row r="304">
          <cell r="B304">
            <v>38653</v>
          </cell>
          <cell r="C304">
            <v>10</v>
          </cell>
        </row>
        <row r="305">
          <cell r="B305">
            <v>38654</v>
          </cell>
          <cell r="C305">
            <v>10</v>
          </cell>
        </row>
        <row r="306">
          <cell r="B306">
            <v>38655</v>
          </cell>
          <cell r="C306">
            <v>10</v>
          </cell>
        </row>
        <row r="307">
          <cell r="B307">
            <v>38656</v>
          </cell>
          <cell r="C307">
            <v>10</v>
          </cell>
        </row>
        <row r="308">
          <cell r="B308">
            <v>38657</v>
          </cell>
          <cell r="C308">
            <v>11</v>
          </cell>
        </row>
        <row r="309">
          <cell r="B309">
            <v>38658</v>
          </cell>
          <cell r="C309">
            <v>11</v>
          </cell>
        </row>
        <row r="310">
          <cell r="B310">
            <v>38659</v>
          </cell>
          <cell r="C310">
            <v>11</v>
          </cell>
        </row>
        <row r="311">
          <cell r="B311">
            <v>38660</v>
          </cell>
          <cell r="C311">
            <v>11</v>
          </cell>
        </row>
        <row r="312">
          <cell r="B312">
            <v>38661</v>
          </cell>
          <cell r="C312">
            <v>11</v>
          </cell>
        </row>
        <row r="313">
          <cell r="B313">
            <v>38662</v>
          </cell>
          <cell r="C313">
            <v>11</v>
          </cell>
        </row>
        <row r="314">
          <cell r="B314">
            <v>38663</v>
          </cell>
          <cell r="C314">
            <v>11</v>
          </cell>
        </row>
        <row r="315">
          <cell r="B315">
            <v>38664</v>
          </cell>
          <cell r="C315">
            <v>11</v>
          </cell>
        </row>
        <row r="316">
          <cell r="B316">
            <v>38665</v>
          </cell>
          <cell r="C316">
            <v>11</v>
          </cell>
        </row>
        <row r="317">
          <cell r="B317">
            <v>38666</v>
          </cell>
          <cell r="C317">
            <v>11</v>
          </cell>
        </row>
        <row r="318">
          <cell r="B318">
            <v>38667</v>
          </cell>
          <cell r="C318">
            <v>11</v>
          </cell>
        </row>
        <row r="319">
          <cell r="B319">
            <v>38668</v>
          </cell>
          <cell r="C319">
            <v>11</v>
          </cell>
        </row>
        <row r="320">
          <cell r="B320">
            <v>38669</v>
          </cell>
          <cell r="C320">
            <v>11</v>
          </cell>
        </row>
        <row r="321">
          <cell r="B321">
            <v>38670</v>
          </cell>
          <cell r="C321">
            <v>11</v>
          </cell>
        </row>
        <row r="322">
          <cell r="B322">
            <v>38671</v>
          </cell>
          <cell r="C322">
            <v>11</v>
          </cell>
        </row>
        <row r="323">
          <cell r="B323">
            <v>38672</v>
          </cell>
          <cell r="C323">
            <v>11</v>
          </cell>
        </row>
        <row r="324">
          <cell r="B324">
            <v>38673</v>
          </cell>
          <cell r="C324">
            <v>11</v>
          </cell>
        </row>
        <row r="325">
          <cell r="B325">
            <v>38674</v>
          </cell>
          <cell r="C325">
            <v>11</v>
          </cell>
        </row>
        <row r="326">
          <cell r="B326">
            <v>38675</v>
          </cell>
          <cell r="C326">
            <v>11</v>
          </cell>
        </row>
        <row r="327">
          <cell r="B327">
            <v>38676</v>
          </cell>
          <cell r="C327">
            <v>11</v>
          </cell>
        </row>
        <row r="328">
          <cell r="B328">
            <v>38677</v>
          </cell>
          <cell r="C328">
            <v>11</v>
          </cell>
        </row>
        <row r="329">
          <cell r="B329">
            <v>38678</v>
          </cell>
          <cell r="C329">
            <v>11</v>
          </cell>
        </row>
        <row r="330">
          <cell r="B330">
            <v>38679</v>
          </cell>
          <cell r="C330">
            <v>11</v>
          </cell>
        </row>
        <row r="331">
          <cell r="B331">
            <v>38680</v>
          </cell>
          <cell r="C331">
            <v>11</v>
          </cell>
        </row>
        <row r="332">
          <cell r="B332">
            <v>38681</v>
          </cell>
          <cell r="C332">
            <v>11</v>
          </cell>
        </row>
        <row r="333">
          <cell r="B333">
            <v>38682</v>
          </cell>
          <cell r="C333">
            <v>11</v>
          </cell>
        </row>
        <row r="334">
          <cell r="B334">
            <v>38683</v>
          </cell>
          <cell r="C334">
            <v>11</v>
          </cell>
        </row>
        <row r="335">
          <cell r="B335">
            <v>38684</v>
          </cell>
          <cell r="C335">
            <v>11</v>
          </cell>
        </row>
        <row r="336">
          <cell r="B336">
            <v>38685</v>
          </cell>
          <cell r="C336">
            <v>11</v>
          </cell>
        </row>
        <row r="337">
          <cell r="B337">
            <v>38686</v>
          </cell>
          <cell r="C337">
            <v>11</v>
          </cell>
        </row>
        <row r="338">
          <cell r="B338">
            <v>38687</v>
          </cell>
          <cell r="C338">
            <v>12</v>
          </cell>
        </row>
        <row r="339">
          <cell r="B339">
            <v>38688</v>
          </cell>
          <cell r="C339">
            <v>12</v>
          </cell>
        </row>
        <row r="340">
          <cell r="B340">
            <v>38689</v>
          </cell>
          <cell r="C340">
            <v>12</v>
          </cell>
        </row>
        <row r="341">
          <cell r="B341">
            <v>38690</v>
          </cell>
          <cell r="C341">
            <v>12</v>
          </cell>
        </row>
        <row r="342">
          <cell r="B342">
            <v>38691</v>
          </cell>
          <cell r="C342">
            <v>12</v>
          </cell>
        </row>
        <row r="343">
          <cell r="B343">
            <v>38692</v>
          </cell>
          <cell r="C343">
            <v>12</v>
          </cell>
        </row>
        <row r="344">
          <cell r="B344">
            <v>38693</v>
          </cell>
          <cell r="C344">
            <v>12</v>
          </cell>
        </row>
        <row r="345">
          <cell r="B345">
            <v>38694</v>
          </cell>
          <cell r="C345">
            <v>12</v>
          </cell>
        </row>
        <row r="346">
          <cell r="B346">
            <v>38695</v>
          </cell>
          <cell r="C346">
            <v>12</v>
          </cell>
        </row>
        <row r="347">
          <cell r="B347">
            <v>38696</v>
          </cell>
          <cell r="C347">
            <v>12</v>
          </cell>
        </row>
        <row r="348">
          <cell r="B348">
            <v>38697</v>
          </cell>
          <cell r="C348">
            <v>12</v>
          </cell>
        </row>
        <row r="349">
          <cell r="B349">
            <v>38698</v>
          </cell>
          <cell r="C349">
            <v>12</v>
          </cell>
        </row>
        <row r="350">
          <cell r="B350">
            <v>38699</v>
          </cell>
          <cell r="C350">
            <v>12</v>
          </cell>
        </row>
        <row r="351">
          <cell r="B351">
            <v>38700</v>
          </cell>
          <cell r="C351">
            <v>12</v>
          </cell>
        </row>
        <row r="352">
          <cell r="B352">
            <v>38701</v>
          </cell>
          <cell r="C352">
            <v>12</v>
          </cell>
        </row>
        <row r="353">
          <cell r="B353">
            <v>38702</v>
          </cell>
          <cell r="C353">
            <v>12</v>
          </cell>
        </row>
        <row r="354">
          <cell r="B354">
            <v>38703</v>
          </cell>
          <cell r="C354">
            <v>12</v>
          </cell>
        </row>
        <row r="355">
          <cell r="B355">
            <v>38704</v>
          </cell>
          <cell r="C355">
            <v>12</v>
          </cell>
        </row>
        <row r="356">
          <cell r="B356">
            <v>38705</v>
          </cell>
          <cell r="C356">
            <v>12</v>
          </cell>
        </row>
        <row r="357">
          <cell r="B357">
            <v>38706</v>
          </cell>
          <cell r="C357">
            <v>12</v>
          </cell>
        </row>
        <row r="358">
          <cell r="B358">
            <v>38707</v>
          </cell>
          <cell r="C358">
            <v>12</v>
          </cell>
        </row>
        <row r="359">
          <cell r="B359">
            <v>38708</v>
          </cell>
          <cell r="C359">
            <v>12</v>
          </cell>
        </row>
        <row r="360">
          <cell r="B360">
            <v>38709</v>
          </cell>
          <cell r="C360">
            <v>12</v>
          </cell>
        </row>
        <row r="361">
          <cell r="B361">
            <v>38710</v>
          </cell>
          <cell r="C361">
            <v>12</v>
          </cell>
        </row>
        <row r="362">
          <cell r="B362">
            <v>38711</v>
          </cell>
          <cell r="C362">
            <v>12</v>
          </cell>
        </row>
        <row r="363">
          <cell r="B363">
            <v>38712</v>
          </cell>
          <cell r="C363">
            <v>12</v>
          </cell>
        </row>
        <row r="364">
          <cell r="B364">
            <v>38713</v>
          </cell>
          <cell r="C364">
            <v>12</v>
          </cell>
        </row>
        <row r="365">
          <cell r="B365">
            <v>38714</v>
          </cell>
          <cell r="C365">
            <v>12</v>
          </cell>
        </row>
        <row r="366">
          <cell r="B366">
            <v>38715</v>
          </cell>
          <cell r="C366">
            <v>12</v>
          </cell>
        </row>
        <row r="367">
          <cell r="B367">
            <v>38716</v>
          </cell>
          <cell r="C367">
            <v>12</v>
          </cell>
        </row>
        <row r="368">
          <cell r="B368">
            <v>38717</v>
          </cell>
          <cell r="C368">
            <v>12</v>
          </cell>
        </row>
        <row r="369">
          <cell r="B369">
            <v>38718</v>
          </cell>
          <cell r="C369">
            <v>1</v>
          </cell>
        </row>
        <row r="370">
          <cell r="B370">
            <v>38719</v>
          </cell>
          <cell r="C370">
            <v>1</v>
          </cell>
        </row>
        <row r="371">
          <cell r="B371">
            <v>38720</v>
          </cell>
          <cell r="C371">
            <v>1</v>
          </cell>
        </row>
        <row r="372">
          <cell r="B372">
            <v>38721</v>
          </cell>
          <cell r="C372">
            <v>1</v>
          </cell>
        </row>
        <row r="373">
          <cell r="B373">
            <v>38722</v>
          </cell>
          <cell r="C373">
            <v>1</v>
          </cell>
        </row>
        <row r="374">
          <cell r="B374">
            <v>38723</v>
          </cell>
          <cell r="C374">
            <v>1</v>
          </cell>
        </row>
        <row r="375">
          <cell r="B375">
            <v>38724</v>
          </cell>
          <cell r="C375">
            <v>1</v>
          </cell>
        </row>
        <row r="376">
          <cell r="B376">
            <v>38725</v>
          </cell>
          <cell r="C376">
            <v>1</v>
          </cell>
        </row>
        <row r="377">
          <cell r="B377">
            <v>38726</v>
          </cell>
          <cell r="C377">
            <v>1</v>
          </cell>
        </row>
        <row r="378">
          <cell r="B378">
            <v>38727</v>
          </cell>
          <cell r="C378">
            <v>1</v>
          </cell>
        </row>
        <row r="379">
          <cell r="B379">
            <v>38728</v>
          </cell>
          <cell r="C379">
            <v>1</v>
          </cell>
        </row>
        <row r="380">
          <cell r="B380">
            <v>38729</v>
          </cell>
          <cell r="C380">
            <v>1</v>
          </cell>
        </row>
        <row r="381">
          <cell r="B381">
            <v>38730</v>
          </cell>
          <cell r="C381">
            <v>1</v>
          </cell>
        </row>
        <row r="382">
          <cell r="B382">
            <v>38731</v>
          </cell>
          <cell r="C382">
            <v>1</v>
          </cell>
        </row>
        <row r="383">
          <cell r="B383">
            <v>38732</v>
          </cell>
          <cell r="C383">
            <v>1</v>
          </cell>
        </row>
        <row r="384">
          <cell r="B384">
            <v>38733</v>
          </cell>
          <cell r="C384">
            <v>1</v>
          </cell>
        </row>
        <row r="385">
          <cell r="B385">
            <v>38734</v>
          </cell>
          <cell r="C385">
            <v>1</v>
          </cell>
        </row>
        <row r="386">
          <cell r="B386">
            <v>38735</v>
          </cell>
          <cell r="C386">
            <v>1</v>
          </cell>
        </row>
        <row r="387">
          <cell r="B387">
            <v>38736</v>
          </cell>
          <cell r="C387">
            <v>1</v>
          </cell>
        </row>
        <row r="388">
          <cell r="B388">
            <v>38737</v>
          </cell>
          <cell r="C388">
            <v>1</v>
          </cell>
        </row>
        <row r="389">
          <cell r="B389">
            <v>38738</v>
          </cell>
          <cell r="C389">
            <v>1</v>
          </cell>
        </row>
        <row r="390">
          <cell r="B390">
            <v>38739</v>
          </cell>
          <cell r="C390">
            <v>1</v>
          </cell>
        </row>
        <row r="391">
          <cell r="B391">
            <v>38740</v>
          </cell>
          <cell r="C391">
            <v>1</v>
          </cell>
        </row>
        <row r="392">
          <cell r="B392">
            <v>38741</v>
          </cell>
          <cell r="C392">
            <v>1</v>
          </cell>
        </row>
        <row r="393">
          <cell r="B393">
            <v>38742</v>
          </cell>
          <cell r="C393">
            <v>1</v>
          </cell>
        </row>
        <row r="394">
          <cell r="B394">
            <v>38743</v>
          </cell>
          <cell r="C394">
            <v>1</v>
          </cell>
        </row>
        <row r="395">
          <cell r="B395">
            <v>38744</v>
          </cell>
          <cell r="C395">
            <v>1</v>
          </cell>
        </row>
        <row r="396">
          <cell r="B396">
            <v>38745</v>
          </cell>
          <cell r="C396">
            <v>1</v>
          </cell>
        </row>
        <row r="397">
          <cell r="B397">
            <v>38746</v>
          </cell>
          <cell r="C397">
            <v>1</v>
          </cell>
        </row>
        <row r="398">
          <cell r="B398">
            <v>38747</v>
          </cell>
          <cell r="C398">
            <v>1</v>
          </cell>
        </row>
        <row r="399">
          <cell r="B399">
            <v>38748</v>
          </cell>
          <cell r="C399">
            <v>1</v>
          </cell>
        </row>
        <row r="400">
          <cell r="B400">
            <v>38749</v>
          </cell>
          <cell r="C400">
            <v>2</v>
          </cell>
        </row>
        <row r="401">
          <cell r="B401">
            <v>38750</v>
          </cell>
          <cell r="C401">
            <v>2</v>
          </cell>
        </row>
        <row r="402">
          <cell r="B402">
            <v>38751</v>
          </cell>
          <cell r="C402">
            <v>2</v>
          </cell>
        </row>
        <row r="403">
          <cell r="B403">
            <v>38752</v>
          </cell>
          <cell r="C403">
            <v>2</v>
          </cell>
        </row>
        <row r="404">
          <cell r="B404">
            <v>38753</v>
          </cell>
          <cell r="C404">
            <v>2</v>
          </cell>
        </row>
        <row r="405">
          <cell r="B405">
            <v>38754</v>
          </cell>
          <cell r="C405">
            <v>2</v>
          </cell>
        </row>
        <row r="406">
          <cell r="B406">
            <v>38755</v>
          </cell>
          <cell r="C406">
            <v>2</v>
          </cell>
        </row>
        <row r="407">
          <cell r="B407">
            <v>38756</v>
          </cell>
          <cell r="C407">
            <v>2</v>
          </cell>
        </row>
        <row r="408">
          <cell r="B408">
            <v>38757</v>
          </cell>
          <cell r="C408">
            <v>2</v>
          </cell>
        </row>
        <row r="409">
          <cell r="B409">
            <v>38758</v>
          </cell>
          <cell r="C409">
            <v>2</v>
          </cell>
        </row>
        <row r="410">
          <cell r="B410">
            <v>38759</v>
          </cell>
          <cell r="C410">
            <v>2</v>
          </cell>
        </row>
        <row r="411">
          <cell r="B411">
            <v>38760</v>
          </cell>
          <cell r="C411">
            <v>2</v>
          </cell>
        </row>
        <row r="412">
          <cell r="B412">
            <v>38761</v>
          </cell>
          <cell r="C412">
            <v>2</v>
          </cell>
        </row>
        <row r="413">
          <cell r="B413">
            <v>38762</v>
          </cell>
          <cell r="C413">
            <v>2</v>
          </cell>
        </row>
        <row r="414">
          <cell r="B414">
            <v>38763</v>
          </cell>
          <cell r="C414">
            <v>2</v>
          </cell>
        </row>
        <row r="415">
          <cell r="B415">
            <v>38764</v>
          </cell>
          <cell r="C415">
            <v>2</v>
          </cell>
        </row>
        <row r="416">
          <cell r="B416">
            <v>38765</v>
          </cell>
          <cell r="C416">
            <v>2</v>
          </cell>
        </row>
        <row r="417">
          <cell r="B417">
            <v>38766</v>
          </cell>
          <cell r="C417">
            <v>2</v>
          </cell>
        </row>
        <row r="418">
          <cell r="B418">
            <v>38767</v>
          </cell>
          <cell r="C418">
            <v>2</v>
          </cell>
        </row>
        <row r="419">
          <cell r="B419">
            <v>38768</v>
          </cell>
          <cell r="C419">
            <v>2</v>
          </cell>
        </row>
        <row r="420">
          <cell r="B420">
            <v>38769</v>
          </cell>
          <cell r="C420">
            <v>2</v>
          </cell>
        </row>
        <row r="421">
          <cell r="B421">
            <v>38770</v>
          </cell>
          <cell r="C421">
            <v>2</v>
          </cell>
        </row>
        <row r="422">
          <cell r="B422">
            <v>38771</v>
          </cell>
          <cell r="C422">
            <v>2</v>
          </cell>
        </row>
        <row r="423">
          <cell r="B423">
            <v>38772</v>
          </cell>
          <cell r="C423">
            <v>2</v>
          </cell>
        </row>
        <row r="424">
          <cell r="B424">
            <v>38773</v>
          </cell>
          <cell r="C424">
            <v>2</v>
          </cell>
        </row>
        <row r="425">
          <cell r="B425">
            <v>38774</v>
          </cell>
          <cell r="C425">
            <v>2</v>
          </cell>
        </row>
        <row r="426">
          <cell r="B426">
            <v>38775</v>
          </cell>
          <cell r="C426">
            <v>2</v>
          </cell>
        </row>
        <row r="427">
          <cell r="B427">
            <v>38776</v>
          </cell>
          <cell r="C427">
            <v>2</v>
          </cell>
        </row>
        <row r="428">
          <cell r="B428">
            <v>38777</v>
          </cell>
          <cell r="C428">
            <v>3</v>
          </cell>
        </row>
        <row r="429">
          <cell r="B429">
            <v>38778</v>
          </cell>
          <cell r="C429">
            <v>3</v>
          </cell>
        </row>
        <row r="430">
          <cell r="B430">
            <v>38779</v>
          </cell>
          <cell r="C430">
            <v>3</v>
          </cell>
        </row>
        <row r="431">
          <cell r="B431">
            <v>38780</v>
          </cell>
          <cell r="C431">
            <v>3</v>
          </cell>
        </row>
        <row r="432">
          <cell r="B432">
            <v>38781</v>
          </cell>
          <cell r="C432">
            <v>3</v>
          </cell>
        </row>
        <row r="433">
          <cell r="B433">
            <v>38782</v>
          </cell>
          <cell r="C433">
            <v>3</v>
          </cell>
        </row>
        <row r="434">
          <cell r="B434">
            <v>38783</v>
          </cell>
          <cell r="C434">
            <v>3</v>
          </cell>
        </row>
        <row r="435">
          <cell r="B435">
            <v>38784</v>
          </cell>
          <cell r="C435">
            <v>3</v>
          </cell>
        </row>
        <row r="436">
          <cell r="B436">
            <v>38785</v>
          </cell>
          <cell r="C436">
            <v>3</v>
          </cell>
        </row>
        <row r="437">
          <cell r="B437">
            <v>38786</v>
          </cell>
          <cell r="C437">
            <v>3</v>
          </cell>
        </row>
        <row r="438">
          <cell r="B438">
            <v>38787</v>
          </cell>
          <cell r="C438">
            <v>3</v>
          </cell>
        </row>
        <row r="439">
          <cell r="B439">
            <v>38788</v>
          </cell>
          <cell r="C439">
            <v>3</v>
          </cell>
        </row>
        <row r="440">
          <cell r="B440">
            <v>38789</v>
          </cell>
          <cell r="C440">
            <v>3</v>
          </cell>
        </row>
        <row r="441">
          <cell r="B441">
            <v>38790</v>
          </cell>
          <cell r="C441">
            <v>3</v>
          </cell>
        </row>
        <row r="442">
          <cell r="B442">
            <v>38791</v>
          </cell>
          <cell r="C442">
            <v>3</v>
          </cell>
        </row>
        <row r="443">
          <cell r="B443">
            <v>38792</v>
          </cell>
          <cell r="C443">
            <v>3</v>
          </cell>
        </row>
        <row r="444">
          <cell r="B444">
            <v>38793</v>
          </cell>
          <cell r="C444">
            <v>3</v>
          </cell>
        </row>
        <row r="445">
          <cell r="B445">
            <v>38794</v>
          </cell>
          <cell r="C445">
            <v>3</v>
          </cell>
        </row>
        <row r="446">
          <cell r="B446">
            <v>38795</v>
          </cell>
          <cell r="C446">
            <v>3</v>
          </cell>
        </row>
        <row r="447">
          <cell r="B447">
            <v>38796</v>
          </cell>
          <cell r="C447">
            <v>3</v>
          </cell>
        </row>
        <row r="448">
          <cell r="B448">
            <v>38797</v>
          </cell>
          <cell r="C448">
            <v>3</v>
          </cell>
        </row>
        <row r="449">
          <cell r="B449">
            <v>38798</v>
          </cell>
          <cell r="C449">
            <v>3</v>
          </cell>
        </row>
        <row r="450">
          <cell r="B450">
            <v>38799</v>
          </cell>
          <cell r="C450">
            <v>3</v>
          </cell>
        </row>
        <row r="451">
          <cell r="B451">
            <v>38800</v>
          </cell>
          <cell r="C451">
            <v>3</v>
          </cell>
        </row>
        <row r="452">
          <cell r="B452">
            <v>38801</v>
          </cell>
          <cell r="C452">
            <v>3</v>
          </cell>
        </row>
        <row r="453">
          <cell r="B453">
            <v>38802</v>
          </cell>
          <cell r="C453">
            <v>3</v>
          </cell>
        </row>
        <row r="454">
          <cell r="B454">
            <v>38803</v>
          </cell>
          <cell r="C454">
            <v>3</v>
          </cell>
        </row>
        <row r="455">
          <cell r="B455">
            <v>38804</v>
          </cell>
          <cell r="C455">
            <v>3</v>
          </cell>
        </row>
        <row r="456">
          <cell r="B456">
            <v>38805</v>
          </cell>
          <cell r="C456">
            <v>3</v>
          </cell>
        </row>
        <row r="457">
          <cell r="B457">
            <v>38806</v>
          </cell>
          <cell r="C457">
            <v>3</v>
          </cell>
        </row>
        <row r="458">
          <cell r="B458">
            <v>38807</v>
          </cell>
          <cell r="C458">
            <v>3</v>
          </cell>
        </row>
        <row r="459">
          <cell r="B459">
            <v>38808</v>
          </cell>
          <cell r="C459">
            <v>4</v>
          </cell>
        </row>
        <row r="460">
          <cell r="B460">
            <v>38809</v>
          </cell>
          <cell r="C460">
            <v>4</v>
          </cell>
        </row>
        <row r="461">
          <cell r="B461">
            <v>38810</v>
          </cell>
          <cell r="C461">
            <v>4</v>
          </cell>
        </row>
        <row r="462">
          <cell r="B462">
            <v>38811</v>
          </cell>
          <cell r="C462">
            <v>4</v>
          </cell>
        </row>
        <row r="463">
          <cell r="B463">
            <v>38812</v>
          </cell>
          <cell r="C463">
            <v>4</v>
          </cell>
        </row>
        <row r="464">
          <cell r="B464">
            <v>38813</v>
          </cell>
          <cell r="C464">
            <v>4</v>
          </cell>
        </row>
        <row r="465">
          <cell r="B465">
            <v>38814</v>
          </cell>
          <cell r="C465">
            <v>4</v>
          </cell>
        </row>
        <row r="466">
          <cell r="B466">
            <v>38815</v>
          </cell>
          <cell r="C466">
            <v>4</v>
          </cell>
        </row>
        <row r="467">
          <cell r="B467">
            <v>38816</v>
          </cell>
          <cell r="C467">
            <v>4</v>
          </cell>
        </row>
        <row r="468">
          <cell r="B468">
            <v>38817</v>
          </cell>
          <cell r="C468">
            <v>4</v>
          </cell>
        </row>
        <row r="469">
          <cell r="B469">
            <v>38818</v>
          </cell>
          <cell r="C469">
            <v>4</v>
          </cell>
        </row>
        <row r="470">
          <cell r="B470">
            <v>38819</v>
          </cell>
          <cell r="C470">
            <v>4</v>
          </cell>
        </row>
        <row r="471">
          <cell r="B471">
            <v>38820</v>
          </cell>
          <cell r="C471">
            <v>4</v>
          </cell>
        </row>
        <row r="472">
          <cell r="B472">
            <v>38821</v>
          </cell>
          <cell r="C472">
            <v>4</v>
          </cell>
        </row>
        <row r="473">
          <cell r="B473">
            <v>38822</v>
          </cell>
          <cell r="C473">
            <v>4</v>
          </cell>
        </row>
        <row r="474">
          <cell r="B474">
            <v>38823</v>
          </cell>
          <cell r="C474">
            <v>4</v>
          </cell>
        </row>
        <row r="475">
          <cell r="B475">
            <v>38824</v>
          </cell>
          <cell r="C475">
            <v>4</v>
          </cell>
        </row>
        <row r="476">
          <cell r="B476">
            <v>38825</v>
          </cell>
          <cell r="C476">
            <v>4</v>
          </cell>
        </row>
        <row r="477">
          <cell r="B477">
            <v>38826</v>
          </cell>
          <cell r="C477">
            <v>4</v>
          </cell>
        </row>
        <row r="478">
          <cell r="B478">
            <v>38827</v>
          </cell>
          <cell r="C478">
            <v>4</v>
          </cell>
        </row>
        <row r="479">
          <cell r="B479">
            <v>38828</v>
          </cell>
          <cell r="C479">
            <v>4</v>
          </cell>
        </row>
        <row r="480">
          <cell r="B480">
            <v>38829</v>
          </cell>
          <cell r="C480">
            <v>4</v>
          </cell>
        </row>
        <row r="481">
          <cell r="B481">
            <v>38830</v>
          </cell>
          <cell r="C481">
            <v>4</v>
          </cell>
        </row>
        <row r="482">
          <cell r="B482">
            <v>38831</v>
          </cell>
          <cell r="C482">
            <v>4</v>
          </cell>
        </row>
        <row r="483">
          <cell r="B483">
            <v>38832</v>
          </cell>
          <cell r="C483">
            <v>4</v>
          </cell>
        </row>
        <row r="484">
          <cell r="B484">
            <v>38833</v>
          </cell>
          <cell r="C484">
            <v>4</v>
          </cell>
        </row>
        <row r="485">
          <cell r="B485">
            <v>38834</v>
          </cell>
          <cell r="C485">
            <v>4</v>
          </cell>
        </row>
        <row r="486">
          <cell r="B486">
            <v>38835</v>
          </cell>
          <cell r="C486">
            <v>4</v>
          </cell>
        </row>
        <row r="487">
          <cell r="B487">
            <v>38836</v>
          </cell>
          <cell r="C487">
            <v>4</v>
          </cell>
        </row>
        <row r="488">
          <cell r="B488">
            <v>38837</v>
          </cell>
          <cell r="C488">
            <v>4</v>
          </cell>
        </row>
        <row r="489">
          <cell r="B489">
            <v>38838</v>
          </cell>
          <cell r="C489">
            <v>5</v>
          </cell>
        </row>
        <row r="490">
          <cell r="B490">
            <v>38839</v>
          </cell>
          <cell r="C490">
            <v>5</v>
          </cell>
        </row>
        <row r="491">
          <cell r="B491">
            <v>38840</v>
          </cell>
          <cell r="C491">
            <v>5</v>
          </cell>
        </row>
        <row r="492">
          <cell r="B492">
            <v>38841</v>
          </cell>
          <cell r="C492">
            <v>5</v>
          </cell>
        </row>
        <row r="493">
          <cell r="B493">
            <v>38842</v>
          </cell>
          <cell r="C493">
            <v>5</v>
          </cell>
        </row>
        <row r="494">
          <cell r="B494">
            <v>38843</v>
          </cell>
          <cell r="C494">
            <v>5</v>
          </cell>
        </row>
        <row r="495">
          <cell r="B495">
            <v>38844</v>
          </cell>
          <cell r="C495">
            <v>5</v>
          </cell>
        </row>
        <row r="496">
          <cell r="B496">
            <v>38845</v>
          </cell>
          <cell r="C496">
            <v>5</v>
          </cell>
        </row>
        <row r="497">
          <cell r="B497">
            <v>38846</v>
          </cell>
          <cell r="C497">
            <v>5</v>
          </cell>
        </row>
        <row r="498">
          <cell r="B498">
            <v>38847</v>
          </cell>
          <cell r="C498">
            <v>5</v>
          </cell>
        </row>
        <row r="499">
          <cell r="B499">
            <v>38848</v>
          </cell>
          <cell r="C499">
            <v>5</v>
          </cell>
        </row>
        <row r="500">
          <cell r="B500">
            <v>38849</v>
          </cell>
          <cell r="C500">
            <v>5</v>
          </cell>
        </row>
        <row r="501">
          <cell r="B501">
            <v>38850</v>
          </cell>
          <cell r="C501">
            <v>5</v>
          </cell>
        </row>
        <row r="502">
          <cell r="B502">
            <v>38851</v>
          </cell>
          <cell r="C502">
            <v>5</v>
          </cell>
        </row>
        <row r="503">
          <cell r="B503">
            <v>38852</v>
          </cell>
          <cell r="C503">
            <v>5</v>
          </cell>
        </row>
        <row r="504">
          <cell r="B504">
            <v>38853</v>
          </cell>
          <cell r="C504">
            <v>5</v>
          </cell>
        </row>
        <row r="505">
          <cell r="B505">
            <v>38854</v>
          </cell>
          <cell r="C505">
            <v>5</v>
          </cell>
        </row>
        <row r="506">
          <cell r="B506">
            <v>38855</v>
          </cell>
          <cell r="C506">
            <v>5</v>
          </cell>
        </row>
        <row r="507">
          <cell r="B507">
            <v>38856</v>
          </cell>
          <cell r="C507">
            <v>5</v>
          </cell>
        </row>
        <row r="508">
          <cell r="B508">
            <v>38857</v>
          </cell>
          <cell r="C508">
            <v>5</v>
          </cell>
        </row>
        <row r="509">
          <cell r="B509">
            <v>38858</v>
          </cell>
          <cell r="C509">
            <v>5</v>
          </cell>
        </row>
        <row r="510">
          <cell r="B510">
            <v>38859</v>
          </cell>
          <cell r="C510">
            <v>5</v>
          </cell>
        </row>
        <row r="511">
          <cell r="B511">
            <v>38860</v>
          </cell>
          <cell r="C511">
            <v>5</v>
          </cell>
        </row>
        <row r="512">
          <cell r="B512">
            <v>38861</v>
          </cell>
          <cell r="C512">
            <v>5</v>
          </cell>
        </row>
        <row r="513">
          <cell r="B513">
            <v>38862</v>
          </cell>
          <cell r="C513">
            <v>5</v>
          </cell>
        </row>
        <row r="514">
          <cell r="B514">
            <v>38863</v>
          </cell>
          <cell r="C514">
            <v>5</v>
          </cell>
        </row>
        <row r="515">
          <cell r="B515">
            <v>38864</v>
          </cell>
          <cell r="C515">
            <v>5</v>
          </cell>
        </row>
        <row r="516">
          <cell r="B516">
            <v>38865</v>
          </cell>
          <cell r="C516">
            <v>5</v>
          </cell>
        </row>
        <row r="517">
          <cell r="B517">
            <v>38866</v>
          </cell>
          <cell r="C517">
            <v>5</v>
          </cell>
        </row>
        <row r="518">
          <cell r="B518">
            <v>38867</v>
          </cell>
          <cell r="C518">
            <v>5</v>
          </cell>
        </row>
        <row r="519">
          <cell r="B519">
            <v>38868</v>
          </cell>
          <cell r="C519">
            <v>5</v>
          </cell>
        </row>
        <row r="520">
          <cell r="B520">
            <v>38869</v>
          </cell>
          <cell r="C520">
            <v>6</v>
          </cell>
        </row>
        <row r="521">
          <cell r="B521">
            <v>38870</v>
          </cell>
          <cell r="C521">
            <v>6</v>
          </cell>
        </row>
        <row r="522">
          <cell r="B522">
            <v>38871</v>
          </cell>
          <cell r="C522">
            <v>6</v>
          </cell>
        </row>
        <row r="523">
          <cell r="B523">
            <v>38872</v>
          </cell>
          <cell r="C523">
            <v>6</v>
          </cell>
        </row>
        <row r="524">
          <cell r="B524">
            <v>38873</v>
          </cell>
          <cell r="C524">
            <v>6</v>
          </cell>
        </row>
        <row r="525">
          <cell r="B525">
            <v>38874</v>
          </cell>
          <cell r="C525">
            <v>6</v>
          </cell>
        </row>
        <row r="526">
          <cell r="B526">
            <v>38875</v>
          </cell>
          <cell r="C526">
            <v>6</v>
          </cell>
        </row>
        <row r="527">
          <cell r="B527">
            <v>38876</v>
          </cell>
          <cell r="C527">
            <v>6</v>
          </cell>
        </row>
        <row r="528">
          <cell r="B528">
            <v>38877</v>
          </cell>
          <cell r="C528">
            <v>6</v>
          </cell>
        </row>
        <row r="529">
          <cell r="B529">
            <v>38878</v>
          </cell>
          <cell r="C529">
            <v>6</v>
          </cell>
        </row>
        <row r="530">
          <cell r="B530">
            <v>38879</v>
          </cell>
          <cell r="C530">
            <v>6</v>
          </cell>
        </row>
        <row r="531">
          <cell r="B531">
            <v>38880</v>
          </cell>
          <cell r="C531">
            <v>6</v>
          </cell>
        </row>
        <row r="532">
          <cell r="B532">
            <v>38881</v>
          </cell>
          <cell r="C532">
            <v>6</v>
          </cell>
        </row>
        <row r="533">
          <cell r="B533">
            <v>38882</v>
          </cell>
          <cell r="C533">
            <v>6</v>
          </cell>
        </row>
        <row r="534">
          <cell r="B534">
            <v>38883</v>
          </cell>
          <cell r="C534">
            <v>6</v>
          </cell>
        </row>
        <row r="535">
          <cell r="B535">
            <v>38884</v>
          </cell>
          <cell r="C535">
            <v>6</v>
          </cell>
        </row>
        <row r="536">
          <cell r="B536">
            <v>38885</v>
          </cell>
          <cell r="C536">
            <v>6</v>
          </cell>
        </row>
        <row r="537">
          <cell r="B537">
            <v>38886</v>
          </cell>
          <cell r="C537">
            <v>6</v>
          </cell>
        </row>
        <row r="538">
          <cell r="B538">
            <v>38887</v>
          </cell>
          <cell r="C538">
            <v>6</v>
          </cell>
        </row>
        <row r="539">
          <cell r="B539">
            <v>38888</v>
          </cell>
          <cell r="C539">
            <v>6</v>
          </cell>
        </row>
        <row r="540">
          <cell r="B540">
            <v>38889</v>
          </cell>
          <cell r="C540">
            <v>6</v>
          </cell>
        </row>
        <row r="541">
          <cell r="B541">
            <v>38890</v>
          </cell>
          <cell r="C541">
            <v>6</v>
          </cell>
        </row>
        <row r="542">
          <cell r="B542">
            <v>38891</v>
          </cell>
          <cell r="C542">
            <v>6</v>
          </cell>
        </row>
        <row r="543">
          <cell r="B543">
            <v>38892</v>
          </cell>
          <cell r="C543">
            <v>6</v>
          </cell>
        </row>
        <row r="544">
          <cell r="B544">
            <v>38893</v>
          </cell>
          <cell r="C544">
            <v>6</v>
          </cell>
        </row>
        <row r="545">
          <cell r="B545">
            <v>38894</v>
          </cell>
          <cell r="C545">
            <v>6</v>
          </cell>
        </row>
        <row r="546">
          <cell r="B546">
            <v>38895</v>
          </cell>
          <cell r="C546">
            <v>6</v>
          </cell>
        </row>
        <row r="547">
          <cell r="B547">
            <v>38896</v>
          </cell>
          <cell r="C547">
            <v>6</v>
          </cell>
        </row>
        <row r="548">
          <cell r="B548">
            <v>38897</v>
          </cell>
          <cell r="C548">
            <v>6</v>
          </cell>
        </row>
        <row r="549">
          <cell r="B549">
            <v>38898</v>
          </cell>
          <cell r="C549">
            <v>6</v>
          </cell>
        </row>
        <row r="550">
          <cell r="B550">
            <v>38899</v>
          </cell>
          <cell r="C550">
            <v>7</v>
          </cell>
        </row>
        <row r="551">
          <cell r="B551">
            <v>38900</v>
          </cell>
          <cell r="C551">
            <v>7</v>
          </cell>
        </row>
        <row r="552">
          <cell r="B552">
            <v>38901</v>
          </cell>
          <cell r="C552">
            <v>7</v>
          </cell>
        </row>
        <row r="553">
          <cell r="B553">
            <v>38902</v>
          </cell>
          <cell r="C553">
            <v>7</v>
          </cell>
        </row>
        <row r="554">
          <cell r="B554">
            <v>38903</v>
          </cell>
          <cell r="C554">
            <v>7</v>
          </cell>
        </row>
        <row r="555">
          <cell r="B555">
            <v>38904</v>
          </cell>
          <cell r="C555">
            <v>7</v>
          </cell>
        </row>
        <row r="556">
          <cell r="B556">
            <v>38905</v>
          </cell>
          <cell r="C556">
            <v>7</v>
          </cell>
        </row>
        <row r="557">
          <cell r="B557">
            <v>38906</v>
          </cell>
          <cell r="C557">
            <v>7</v>
          </cell>
        </row>
        <row r="558">
          <cell r="B558">
            <v>38907</v>
          </cell>
          <cell r="C558">
            <v>7</v>
          </cell>
        </row>
        <row r="559">
          <cell r="B559">
            <v>38908</v>
          </cell>
          <cell r="C559">
            <v>7</v>
          </cell>
        </row>
        <row r="560">
          <cell r="B560">
            <v>38909</v>
          </cell>
          <cell r="C560">
            <v>7</v>
          </cell>
        </row>
        <row r="561">
          <cell r="B561">
            <v>38910</v>
          </cell>
          <cell r="C561">
            <v>7</v>
          </cell>
        </row>
        <row r="562">
          <cell r="B562">
            <v>38911</v>
          </cell>
          <cell r="C562">
            <v>7</v>
          </cell>
        </row>
        <row r="563">
          <cell r="B563">
            <v>38912</v>
          </cell>
          <cell r="C563">
            <v>7</v>
          </cell>
        </row>
        <row r="564">
          <cell r="B564">
            <v>38913</v>
          </cell>
          <cell r="C564">
            <v>7</v>
          </cell>
        </row>
        <row r="565">
          <cell r="B565">
            <v>38914</v>
          </cell>
          <cell r="C565">
            <v>7</v>
          </cell>
        </row>
        <row r="566">
          <cell r="B566">
            <v>38915</v>
          </cell>
          <cell r="C566">
            <v>7</v>
          </cell>
        </row>
        <row r="567">
          <cell r="B567">
            <v>38916</v>
          </cell>
          <cell r="C567">
            <v>7</v>
          </cell>
        </row>
        <row r="568">
          <cell r="B568">
            <v>38917</v>
          </cell>
          <cell r="C568">
            <v>7</v>
          </cell>
        </row>
        <row r="569">
          <cell r="B569">
            <v>38918</v>
          </cell>
          <cell r="C569">
            <v>7</v>
          </cell>
        </row>
        <row r="570">
          <cell r="B570">
            <v>38919</v>
          </cell>
          <cell r="C570">
            <v>7</v>
          </cell>
        </row>
        <row r="571">
          <cell r="B571">
            <v>38920</v>
          </cell>
          <cell r="C571">
            <v>7</v>
          </cell>
        </row>
        <row r="572">
          <cell r="B572">
            <v>38921</v>
          </cell>
          <cell r="C572">
            <v>7</v>
          </cell>
        </row>
        <row r="573">
          <cell r="B573">
            <v>38922</v>
          </cell>
          <cell r="C573">
            <v>7</v>
          </cell>
        </row>
        <row r="574">
          <cell r="B574">
            <v>38923</v>
          </cell>
          <cell r="C574">
            <v>7</v>
          </cell>
        </row>
        <row r="575">
          <cell r="B575">
            <v>38924</v>
          </cell>
          <cell r="C575">
            <v>7</v>
          </cell>
        </row>
        <row r="576">
          <cell r="B576">
            <v>38925</v>
          </cell>
          <cell r="C576">
            <v>7</v>
          </cell>
        </row>
        <row r="577">
          <cell r="B577">
            <v>38926</v>
          </cell>
          <cell r="C577">
            <v>7</v>
          </cell>
        </row>
        <row r="578">
          <cell r="B578">
            <v>38927</v>
          </cell>
          <cell r="C578">
            <v>7</v>
          </cell>
        </row>
        <row r="579">
          <cell r="B579">
            <v>38928</v>
          </cell>
          <cell r="C579">
            <v>7</v>
          </cell>
        </row>
        <row r="580">
          <cell r="B580">
            <v>38929</v>
          </cell>
          <cell r="C580">
            <v>7</v>
          </cell>
        </row>
        <row r="581">
          <cell r="B581">
            <v>38930</v>
          </cell>
          <cell r="C581">
            <v>8</v>
          </cell>
        </row>
        <row r="582">
          <cell r="B582">
            <v>38931</v>
          </cell>
          <cell r="C582">
            <v>8</v>
          </cell>
        </row>
        <row r="583">
          <cell r="B583">
            <v>38932</v>
          </cell>
          <cell r="C583">
            <v>8</v>
          </cell>
        </row>
        <row r="584">
          <cell r="B584">
            <v>38933</v>
          </cell>
          <cell r="C584">
            <v>8</v>
          </cell>
        </row>
        <row r="585">
          <cell r="B585">
            <v>38934</v>
          </cell>
          <cell r="C585">
            <v>8</v>
          </cell>
        </row>
        <row r="586">
          <cell r="B586">
            <v>38935</v>
          </cell>
          <cell r="C586">
            <v>8</v>
          </cell>
        </row>
        <row r="587">
          <cell r="B587">
            <v>38936</v>
          </cell>
          <cell r="C587">
            <v>8</v>
          </cell>
        </row>
        <row r="588">
          <cell r="B588">
            <v>38937</v>
          </cell>
          <cell r="C588">
            <v>8</v>
          </cell>
        </row>
        <row r="589">
          <cell r="B589">
            <v>38938</v>
          </cell>
          <cell r="C589">
            <v>8</v>
          </cell>
        </row>
        <row r="590">
          <cell r="B590">
            <v>38939</v>
          </cell>
          <cell r="C590">
            <v>8</v>
          </cell>
        </row>
        <row r="591">
          <cell r="B591">
            <v>38940</v>
          </cell>
          <cell r="C591">
            <v>8</v>
          </cell>
        </row>
        <row r="592">
          <cell r="B592">
            <v>38941</v>
          </cell>
          <cell r="C592">
            <v>8</v>
          </cell>
        </row>
        <row r="593">
          <cell r="B593">
            <v>38942</v>
          </cell>
          <cell r="C593">
            <v>8</v>
          </cell>
        </row>
        <row r="594">
          <cell r="B594">
            <v>38943</v>
          </cell>
          <cell r="C594">
            <v>8</v>
          </cell>
        </row>
        <row r="595">
          <cell r="B595">
            <v>38944</v>
          </cell>
          <cell r="C595">
            <v>8</v>
          </cell>
        </row>
        <row r="596">
          <cell r="B596">
            <v>38945</v>
          </cell>
          <cell r="C596">
            <v>8</v>
          </cell>
        </row>
        <row r="597">
          <cell r="B597">
            <v>38946</v>
          </cell>
          <cell r="C597">
            <v>8</v>
          </cell>
        </row>
        <row r="598">
          <cell r="B598">
            <v>38947</v>
          </cell>
          <cell r="C598">
            <v>8</v>
          </cell>
        </row>
        <row r="599">
          <cell r="B599">
            <v>38948</v>
          </cell>
          <cell r="C599">
            <v>8</v>
          </cell>
        </row>
        <row r="600">
          <cell r="B600">
            <v>38949</v>
          </cell>
          <cell r="C600">
            <v>8</v>
          </cell>
        </row>
        <row r="601">
          <cell r="B601">
            <v>38950</v>
          </cell>
          <cell r="C601">
            <v>8</v>
          </cell>
        </row>
        <row r="602">
          <cell r="B602">
            <v>38951</v>
          </cell>
          <cell r="C602">
            <v>8</v>
          </cell>
        </row>
        <row r="603">
          <cell r="B603">
            <v>38952</v>
          </cell>
          <cell r="C603">
            <v>8</v>
          </cell>
        </row>
        <row r="604">
          <cell r="B604">
            <v>38953</v>
          </cell>
          <cell r="C604">
            <v>8</v>
          </cell>
        </row>
        <row r="605">
          <cell r="B605">
            <v>38954</v>
          </cell>
          <cell r="C605">
            <v>8</v>
          </cell>
        </row>
        <row r="606">
          <cell r="B606">
            <v>38955</v>
          </cell>
          <cell r="C606">
            <v>8</v>
          </cell>
        </row>
        <row r="607">
          <cell r="B607">
            <v>38956</v>
          </cell>
          <cell r="C607">
            <v>8</v>
          </cell>
        </row>
        <row r="608">
          <cell r="B608">
            <v>38957</v>
          </cell>
          <cell r="C608">
            <v>8</v>
          </cell>
        </row>
        <row r="609">
          <cell r="B609">
            <v>38958</v>
          </cell>
          <cell r="C609">
            <v>8</v>
          </cell>
        </row>
        <row r="610">
          <cell r="B610">
            <v>38959</v>
          </cell>
          <cell r="C610">
            <v>8</v>
          </cell>
        </row>
        <row r="611">
          <cell r="B611">
            <v>38960</v>
          </cell>
          <cell r="C611">
            <v>8</v>
          </cell>
        </row>
        <row r="612">
          <cell r="B612">
            <v>38961</v>
          </cell>
          <cell r="C612">
            <v>9</v>
          </cell>
        </row>
        <row r="613">
          <cell r="B613">
            <v>38962</v>
          </cell>
          <cell r="C613">
            <v>9</v>
          </cell>
        </row>
        <row r="614">
          <cell r="B614">
            <v>38963</v>
          </cell>
          <cell r="C614">
            <v>9</v>
          </cell>
        </row>
        <row r="615">
          <cell r="B615">
            <v>38964</v>
          </cell>
          <cell r="C615">
            <v>9</v>
          </cell>
        </row>
        <row r="616">
          <cell r="B616">
            <v>38965</v>
          </cell>
          <cell r="C616">
            <v>9</v>
          </cell>
        </row>
        <row r="617">
          <cell r="B617">
            <v>38966</v>
          </cell>
          <cell r="C617">
            <v>9</v>
          </cell>
        </row>
        <row r="618">
          <cell r="B618">
            <v>38967</v>
          </cell>
          <cell r="C618">
            <v>9</v>
          </cell>
        </row>
        <row r="619">
          <cell r="B619">
            <v>38968</v>
          </cell>
          <cell r="C619">
            <v>9</v>
          </cell>
        </row>
        <row r="620">
          <cell r="B620">
            <v>38969</v>
          </cell>
          <cell r="C620">
            <v>9</v>
          </cell>
        </row>
        <row r="621">
          <cell r="B621">
            <v>38970</v>
          </cell>
          <cell r="C621">
            <v>9</v>
          </cell>
        </row>
        <row r="622">
          <cell r="B622">
            <v>38971</v>
          </cell>
          <cell r="C622">
            <v>9</v>
          </cell>
        </row>
        <row r="623">
          <cell r="B623">
            <v>38972</v>
          </cell>
          <cell r="C623">
            <v>9</v>
          </cell>
        </row>
        <row r="624">
          <cell r="B624">
            <v>38973</v>
          </cell>
          <cell r="C624">
            <v>9</v>
          </cell>
        </row>
        <row r="625">
          <cell r="B625">
            <v>38974</v>
          </cell>
          <cell r="C625">
            <v>9</v>
          </cell>
        </row>
        <row r="626">
          <cell r="B626">
            <v>38975</v>
          </cell>
          <cell r="C626">
            <v>9</v>
          </cell>
        </row>
        <row r="627">
          <cell r="B627">
            <v>38976</v>
          </cell>
          <cell r="C627">
            <v>9</v>
          </cell>
        </row>
        <row r="628">
          <cell r="B628">
            <v>38977</v>
          </cell>
          <cell r="C628">
            <v>9</v>
          </cell>
        </row>
        <row r="629">
          <cell r="B629">
            <v>38978</v>
          </cell>
          <cell r="C629">
            <v>9</v>
          </cell>
        </row>
        <row r="630">
          <cell r="B630">
            <v>38979</v>
          </cell>
          <cell r="C630">
            <v>9</v>
          </cell>
        </row>
        <row r="631">
          <cell r="B631">
            <v>38980</v>
          </cell>
          <cell r="C631">
            <v>9</v>
          </cell>
        </row>
        <row r="632">
          <cell r="B632">
            <v>38981</v>
          </cell>
          <cell r="C632">
            <v>9</v>
          </cell>
        </row>
        <row r="633">
          <cell r="B633">
            <v>38982</v>
          </cell>
          <cell r="C633">
            <v>9</v>
          </cell>
        </row>
        <row r="634">
          <cell r="B634">
            <v>38983</v>
          </cell>
          <cell r="C634">
            <v>9</v>
          </cell>
        </row>
        <row r="635">
          <cell r="B635">
            <v>38984</v>
          </cell>
          <cell r="C635">
            <v>9</v>
          </cell>
        </row>
        <row r="636">
          <cell r="B636">
            <v>38985</v>
          </cell>
          <cell r="C636">
            <v>9</v>
          </cell>
        </row>
        <row r="637">
          <cell r="B637">
            <v>38986</v>
          </cell>
          <cell r="C637">
            <v>9</v>
          </cell>
        </row>
        <row r="638">
          <cell r="B638">
            <v>38987</v>
          </cell>
          <cell r="C638">
            <v>9</v>
          </cell>
        </row>
        <row r="639">
          <cell r="B639">
            <v>38988</v>
          </cell>
          <cell r="C639">
            <v>9</v>
          </cell>
        </row>
        <row r="640">
          <cell r="B640">
            <v>38989</v>
          </cell>
          <cell r="C640">
            <v>9</v>
          </cell>
        </row>
        <row r="641">
          <cell r="B641">
            <v>38990</v>
          </cell>
          <cell r="C641">
            <v>9</v>
          </cell>
        </row>
        <row r="642">
          <cell r="B642">
            <v>38991</v>
          </cell>
          <cell r="C642">
            <v>10</v>
          </cell>
        </row>
        <row r="643">
          <cell r="B643">
            <v>38992</v>
          </cell>
          <cell r="C643">
            <v>10</v>
          </cell>
        </row>
        <row r="644">
          <cell r="B644">
            <v>38993</v>
          </cell>
          <cell r="C644">
            <v>10</v>
          </cell>
        </row>
        <row r="645">
          <cell r="B645">
            <v>38994</v>
          </cell>
          <cell r="C645">
            <v>10</v>
          </cell>
        </row>
        <row r="646">
          <cell r="B646">
            <v>38995</v>
          </cell>
          <cell r="C646">
            <v>10</v>
          </cell>
        </row>
        <row r="647">
          <cell r="B647">
            <v>38996</v>
          </cell>
          <cell r="C647">
            <v>10</v>
          </cell>
        </row>
        <row r="648">
          <cell r="B648">
            <v>38997</v>
          </cell>
          <cell r="C648">
            <v>10</v>
          </cell>
        </row>
        <row r="649">
          <cell r="B649">
            <v>38998</v>
          </cell>
          <cell r="C649">
            <v>10</v>
          </cell>
        </row>
        <row r="650">
          <cell r="B650">
            <v>38999</v>
          </cell>
          <cell r="C650">
            <v>10</v>
          </cell>
        </row>
        <row r="651">
          <cell r="B651">
            <v>39000</v>
          </cell>
          <cell r="C651">
            <v>10</v>
          </cell>
        </row>
        <row r="652">
          <cell r="B652">
            <v>39001</v>
          </cell>
          <cell r="C652">
            <v>10</v>
          </cell>
        </row>
        <row r="653">
          <cell r="B653">
            <v>39002</v>
          </cell>
          <cell r="C653">
            <v>10</v>
          </cell>
        </row>
        <row r="654">
          <cell r="B654">
            <v>39003</v>
          </cell>
          <cell r="C654">
            <v>10</v>
          </cell>
        </row>
        <row r="655">
          <cell r="B655">
            <v>39004</v>
          </cell>
          <cell r="C655">
            <v>10</v>
          </cell>
        </row>
        <row r="656">
          <cell r="B656">
            <v>39005</v>
          </cell>
          <cell r="C656">
            <v>10</v>
          </cell>
        </row>
        <row r="657">
          <cell r="B657">
            <v>39006</v>
          </cell>
          <cell r="C657">
            <v>10</v>
          </cell>
        </row>
        <row r="658">
          <cell r="B658">
            <v>39007</v>
          </cell>
          <cell r="C658">
            <v>10</v>
          </cell>
        </row>
        <row r="659">
          <cell r="B659">
            <v>39008</v>
          </cell>
          <cell r="C659">
            <v>10</v>
          </cell>
        </row>
        <row r="660">
          <cell r="B660">
            <v>39009</v>
          </cell>
          <cell r="C660">
            <v>10</v>
          </cell>
        </row>
        <row r="661">
          <cell r="B661">
            <v>39010</v>
          </cell>
          <cell r="C661">
            <v>10</v>
          </cell>
        </row>
        <row r="662">
          <cell r="B662">
            <v>39011</v>
          </cell>
          <cell r="C662">
            <v>10</v>
          </cell>
        </row>
        <row r="663">
          <cell r="B663">
            <v>39012</v>
          </cell>
          <cell r="C663">
            <v>10</v>
          </cell>
        </row>
        <row r="664">
          <cell r="B664">
            <v>39013</v>
          </cell>
          <cell r="C664">
            <v>10</v>
          </cell>
        </row>
        <row r="665">
          <cell r="B665">
            <v>39014</v>
          </cell>
          <cell r="C665">
            <v>10</v>
          </cell>
        </row>
        <row r="666">
          <cell r="B666">
            <v>39015</v>
          </cell>
          <cell r="C666">
            <v>10</v>
          </cell>
        </row>
        <row r="667">
          <cell r="B667">
            <v>39016</v>
          </cell>
          <cell r="C667">
            <v>10</v>
          </cell>
        </row>
        <row r="668">
          <cell r="B668">
            <v>39017</v>
          </cell>
          <cell r="C668">
            <v>10</v>
          </cell>
        </row>
        <row r="669">
          <cell r="B669">
            <v>39018</v>
          </cell>
          <cell r="C669">
            <v>10</v>
          </cell>
        </row>
        <row r="670">
          <cell r="B670">
            <v>39019</v>
          </cell>
          <cell r="C670">
            <v>10</v>
          </cell>
        </row>
        <row r="671">
          <cell r="B671">
            <v>39020</v>
          </cell>
          <cell r="C671">
            <v>10</v>
          </cell>
        </row>
        <row r="672">
          <cell r="B672">
            <v>39021</v>
          </cell>
          <cell r="C672">
            <v>10</v>
          </cell>
        </row>
        <row r="673">
          <cell r="B673">
            <v>39022</v>
          </cell>
          <cell r="C673">
            <v>11</v>
          </cell>
        </row>
        <row r="674">
          <cell r="B674">
            <v>39023</v>
          </cell>
          <cell r="C674">
            <v>11</v>
          </cell>
        </row>
        <row r="675">
          <cell r="B675">
            <v>39024</v>
          </cell>
          <cell r="C675">
            <v>11</v>
          </cell>
        </row>
        <row r="676">
          <cell r="B676">
            <v>39025</v>
          </cell>
          <cell r="C676">
            <v>11</v>
          </cell>
        </row>
        <row r="677">
          <cell r="B677">
            <v>39026</v>
          </cell>
          <cell r="C677">
            <v>11</v>
          </cell>
        </row>
        <row r="678">
          <cell r="B678">
            <v>39027</v>
          </cell>
          <cell r="C678">
            <v>11</v>
          </cell>
        </row>
        <row r="679">
          <cell r="B679">
            <v>39028</v>
          </cell>
          <cell r="C679">
            <v>11</v>
          </cell>
        </row>
        <row r="680">
          <cell r="B680">
            <v>39029</v>
          </cell>
          <cell r="C680">
            <v>11</v>
          </cell>
        </row>
        <row r="681">
          <cell r="B681">
            <v>39030</v>
          </cell>
          <cell r="C681">
            <v>11</v>
          </cell>
        </row>
        <row r="682">
          <cell r="B682">
            <v>39031</v>
          </cell>
          <cell r="C682">
            <v>11</v>
          </cell>
        </row>
        <row r="683">
          <cell r="B683">
            <v>39032</v>
          </cell>
          <cell r="C683">
            <v>11</v>
          </cell>
        </row>
        <row r="684">
          <cell r="B684">
            <v>39033</v>
          </cell>
          <cell r="C684">
            <v>11</v>
          </cell>
        </row>
        <row r="685">
          <cell r="B685">
            <v>39034</v>
          </cell>
          <cell r="C685">
            <v>11</v>
          </cell>
        </row>
        <row r="686">
          <cell r="B686">
            <v>39035</v>
          </cell>
          <cell r="C686">
            <v>11</v>
          </cell>
        </row>
        <row r="687">
          <cell r="B687">
            <v>39036</v>
          </cell>
          <cell r="C687">
            <v>11</v>
          </cell>
        </row>
        <row r="688">
          <cell r="B688">
            <v>39037</v>
          </cell>
          <cell r="C688">
            <v>11</v>
          </cell>
        </row>
        <row r="689">
          <cell r="B689">
            <v>39038</v>
          </cell>
          <cell r="C689">
            <v>11</v>
          </cell>
        </row>
        <row r="690">
          <cell r="B690">
            <v>39039</v>
          </cell>
          <cell r="C690">
            <v>11</v>
          </cell>
        </row>
        <row r="691">
          <cell r="B691">
            <v>39040</v>
          </cell>
          <cell r="C691">
            <v>11</v>
          </cell>
        </row>
        <row r="692">
          <cell r="B692">
            <v>39041</v>
          </cell>
          <cell r="C692">
            <v>11</v>
          </cell>
        </row>
        <row r="693">
          <cell r="B693">
            <v>39042</v>
          </cell>
          <cell r="C693">
            <v>11</v>
          </cell>
        </row>
        <row r="694">
          <cell r="B694">
            <v>39043</v>
          </cell>
          <cell r="C694">
            <v>11</v>
          </cell>
        </row>
        <row r="695">
          <cell r="B695">
            <v>39044</v>
          </cell>
          <cell r="C695">
            <v>11</v>
          </cell>
        </row>
        <row r="696">
          <cell r="B696">
            <v>39045</v>
          </cell>
          <cell r="C696">
            <v>11</v>
          </cell>
        </row>
        <row r="697">
          <cell r="B697">
            <v>39046</v>
          </cell>
          <cell r="C697">
            <v>11</v>
          </cell>
        </row>
        <row r="698">
          <cell r="B698">
            <v>39047</v>
          </cell>
          <cell r="C698">
            <v>11</v>
          </cell>
        </row>
        <row r="699">
          <cell r="B699">
            <v>39048</v>
          </cell>
          <cell r="C699">
            <v>11</v>
          </cell>
        </row>
        <row r="700">
          <cell r="B700">
            <v>39049</v>
          </cell>
          <cell r="C700">
            <v>11</v>
          </cell>
        </row>
        <row r="701">
          <cell r="B701">
            <v>39050</v>
          </cell>
          <cell r="C701">
            <v>11</v>
          </cell>
        </row>
        <row r="702">
          <cell r="B702">
            <v>39051</v>
          </cell>
          <cell r="C702">
            <v>11</v>
          </cell>
        </row>
        <row r="703">
          <cell r="B703">
            <v>39052</v>
          </cell>
          <cell r="C703">
            <v>12</v>
          </cell>
        </row>
        <row r="704">
          <cell r="B704">
            <v>39053</v>
          </cell>
          <cell r="C704">
            <v>12</v>
          </cell>
        </row>
        <row r="705">
          <cell r="B705">
            <v>39054</v>
          </cell>
          <cell r="C705">
            <v>12</v>
          </cell>
        </row>
        <row r="706">
          <cell r="B706">
            <v>39055</v>
          </cell>
          <cell r="C706">
            <v>12</v>
          </cell>
        </row>
        <row r="707">
          <cell r="B707">
            <v>39056</v>
          </cell>
          <cell r="C707">
            <v>12</v>
          </cell>
        </row>
        <row r="708">
          <cell r="B708">
            <v>39057</v>
          </cell>
          <cell r="C708">
            <v>12</v>
          </cell>
        </row>
        <row r="709">
          <cell r="B709">
            <v>39058</v>
          </cell>
          <cell r="C709">
            <v>12</v>
          </cell>
        </row>
        <row r="710">
          <cell r="B710">
            <v>39059</v>
          </cell>
          <cell r="C710">
            <v>12</v>
          </cell>
        </row>
        <row r="711">
          <cell r="B711">
            <v>39060</v>
          </cell>
          <cell r="C711">
            <v>12</v>
          </cell>
        </row>
        <row r="712">
          <cell r="B712">
            <v>39061</v>
          </cell>
          <cell r="C712">
            <v>12</v>
          </cell>
        </row>
        <row r="713">
          <cell r="B713">
            <v>39062</v>
          </cell>
          <cell r="C713">
            <v>12</v>
          </cell>
        </row>
        <row r="714">
          <cell r="B714">
            <v>39063</v>
          </cell>
          <cell r="C714">
            <v>12</v>
          </cell>
        </row>
        <row r="715">
          <cell r="B715">
            <v>39064</v>
          </cell>
          <cell r="C715">
            <v>12</v>
          </cell>
        </row>
        <row r="716">
          <cell r="B716">
            <v>39065</v>
          </cell>
          <cell r="C716">
            <v>12</v>
          </cell>
        </row>
        <row r="717">
          <cell r="B717">
            <v>39066</v>
          </cell>
          <cell r="C717">
            <v>12</v>
          </cell>
        </row>
        <row r="718">
          <cell r="B718">
            <v>39067</v>
          </cell>
          <cell r="C718">
            <v>12</v>
          </cell>
        </row>
        <row r="719">
          <cell r="B719">
            <v>39068</v>
          </cell>
          <cell r="C719">
            <v>12</v>
          </cell>
        </row>
        <row r="720">
          <cell r="B720">
            <v>39069</v>
          </cell>
          <cell r="C720">
            <v>12</v>
          </cell>
        </row>
        <row r="721">
          <cell r="B721">
            <v>39070</v>
          </cell>
          <cell r="C721">
            <v>12</v>
          </cell>
        </row>
        <row r="722">
          <cell r="B722">
            <v>39071</v>
          </cell>
          <cell r="C722">
            <v>12</v>
          </cell>
        </row>
        <row r="723">
          <cell r="B723">
            <v>39072</v>
          </cell>
          <cell r="C723">
            <v>12</v>
          </cell>
        </row>
        <row r="724">
          <cell r="B724">
            <v>39073</v>
          </cell>
          <cell r="C724">
            <v>12</v>
          </cell>
        </row>
        <row r="725">
          <cell r="B725">
            <v>39074</v>
          </cell>
          <cell r="C725">
            <v>12</v>
          </cell>
        </row>
        <row r="726">
          <cell r="B726">
            <v>39075</v>
          </cell>
          <cell r="C726">
            <v>12</v>
          </cell>
        </row>
        <row r="727">
          <cell r="B727">
            <v>39076</v>
          </cell>
          <cell r="C727">
            <v>12</v>
          </cell>
        </row>
        <row r="728">
          <cell r="B728">
            <v>39077</v>
          </cell>
          <cell r="C728">
            <v>12</v>
          </cell>
        </row>
        <row r="729">
          <cell r="B729">
            <v>39078</v>
          </cell>
          <cell r="C729">
            <v>12</v>
          </cell>
        </row>
        <row r="730">
          <cell r="B730">
            <v>39079</v>
          </cell>
          <cell r="C730">
            <v>12</v>
          </cell>
        </row>
        <row r="731">
          <cell r="B731">
            <v>39080</v>
          </cell>
          <cell r="C731">
            <v>12</v>
          </cell>
        </row>
        <row r="732">
          <cell r="B732">
            <v>39081</v>
          </cell>
          <cell r="C732">
            <v>12</v>
          </cell>
        </row>
        <row r="733">
          <cell r="B733">
            <v>39082</v>
          </cell>
          <cell r="C733">
            <v>12</v>
          </cell>
        </row>
        <row r="734">
          <cell r="B734">
            <v>39083</v>
          </cell>
          <cell r="C734">
            <v>1</v>
          </cell>
        </row>
        <row r="735">
          <cell r="B735">
            <v>39084</v>
          </cell>
          <cell r="C735">
            <v>1</v>
          </cell>
        </row>
        <row r="736">
          <cell r="B736">
            <v>39085</v>
          </cell>
          <cell r="C736">
            <v>1</v>
          </cell>
        </row>
        <row r="737">
          <cell r="B737">
            <v>39086</v>
          </cell>
          <cell r="C737">
            <v>1</v>
          </cell>
        </row>
        <row r="738">
          <cell r="B738">
            <v>39087</v>
          </cell>
          <cell r="C738">
            <v>1</v>
          </cell>
        </row>
        <row r="739">
          <cell r="B739">
            <v>39088</v>
          </cell>
          <cell r="C739">
            <v>1</v>
          </cell>
        </row>
        <row r="740">
          <cell r="B740">
            <v>39089</v>
          </cell>
          <cell r="C740">
            <v>1</v>
          </cell>
        </row>
        <row r="741">
          <cell r="B741">
            <v>39090</v>
          </cell>
          <cell r="C741">
            <v>1</v>
          </cell>
        </row>
        <row r="742">
          <cell r="B742">
            <v>39091</v>
          </cell>
          <cell r="C742">
            <v>1</v>
          </cell>
        </row>
        <row r="743">
          <cell r="B743">
            <v>39092</v>
          </cell>
          <cell r="C743">
            <v>1</v>
          </cell>
        </row>
        <row r="744">
          <cell r="B744">
            <v>39093</v>
          </cell>
          <cell r="C744">
            <v>1</v>
          </cell>
        </row>
        <row r="745">
          <cell r="B745">
            <v>39094</v>
          </cell>
          <cell r="C745">
            <v>1</v>
          </cell>
        </row>
        <row r="746">
          <cell r="B746">
            <v>39095</v>
          </cell>
          <cell r="C746">
            <v>1</v>
          </cell>
        </row>
        <row r="747">
          <cell r="B747">
            <v>39096</v>
          </cell>
          <cell r="C747">
            <v>1</v>
          </cell>
        </row>
        <row r="748">
          <cell r="B748">
            <v>39097</v>
          </cell>
          <cell r="C748">
            <v>1</v>
          </cell>
        </row>
        <row r="749">
          <cell r="B749">
            <v>39098</v>
          </cell>
          <cell r="C749">
            <v>1</v>
          </cell>
        </row>
        <row r="750">
          <cell r="B750">
            <v>39099</v>
          </cell>
          <cell r="C750">
            <v>1</v>
          </cell>
        </row>
        <row r="751">
          <cell r="B751">
            <v>39100</v>
          </cell>
          <cell r="C751">
            <v>1</v>
          </cell>
        </row>
        <row r="752">
          <cell r="B752">
            <v>39101</v>
          </cell>
          <cell r="C752">
            <v>1</v>
          </cell>
        </row>
        <row r="753">
          <cell r="B753">
            <v>39102</v>
          </cell>
          <cell r="C753">
            <v>1</v>
          </cell>
        </row>
        <row r="754">
          <cell r="B754">
            <v>39103</v>
          </cell>
          <cell r="C754">
            <v>1</v>
          </cell>
        </row>
        <row r="755">
          <cell r="B755">
            <v>39104</v>
          </cell>
          <cell r="C755">
            <v>1</v>
          </cell>
        </row>
        <row r="756">
          <cell r="B756">
            <v>39105</v>
          </cell>
          <cell r="C756">
            <v>1</v>
          </cell>
        </row>
        <row r="757">
          <cell r="B757">
            <v>39106</v>
          </cell>
          <cell r="C757">
            <v>1</v>
          </cell>
        </row>
        <row r="758">
          <cell r="B758">
            <v>39107</v>
          </cell>
          <cell r="C758">
            <v>1</v>
          </cell>
        </row>
        <row r="759">
          <cell r="B759">
            <v>39108</v>
          </cell>
          <cell r="C759">
            <v>1</v>
          </cell>
        </row>
        <row r="760">
          <cell r="B760">
            <v>39109</v>
          </cell>
          <cell r="C760">
            <v>1</v>
          </cell>
        </row>
        <row r="761">
          <cell r="B761">
            <v>39110</v>
          </cell>
          <cell r="C761">
            <v>1</v>
          </cell>
        </row>
        <row r="762">
          <cell r="B762">
            <v>39111</v>
          </cell>
          <cell r="C762">
            <v>1</v>
          </cell>
        </row>
        <row r="763">
          <cell r="B763">
            <v>39112</v>
          </cell>
          <cell r="C763">
            <v>1</v>
          </cell>
        </row>
        <row r="764">
          <cell r="B764">
            <v>39113</v>
          </cell>
          <cell r="C764">
            <v>1</v>
          </cell>
        </row>
        <row r="765">
          <cell r="B765">
            <v>39114</v>
          </cell>
          <cell r="C765">
            <v>2</v>
          </cell>
        </row>
        <row r="766">
          <cell r="B766">
            <v>39115</v>
          </cell>
          <cell r="C766">
            <v>2</v>
          </cell>
        </row>
        <row r="767">
          <cell r="B767">
            <v>39116</v>
          </cell>
          <cell r="C767">
            <v>2</v>
          </cell>
        </row>
        <row r="768">
          <cell r="B768">
            <v>39117</v>
          </cell>
          <cell r="C768">
            <v>2</v>
          </cell>
        </row>
        <row r="769">
          <cell r="B769">
            <v>39118</v>
          </cell>
          <cell r="C769">
            <v>2</v>
          </cell>
        </row>
        <row r="770">
          <cell r="B770">
            <v>39119</v>
          </cell>
          <cell r="C770">
            <v>2</v>
          </cell>
        </row>
        <row r="771">
          <cell r="B771">
            <v>39120</v>
          </cell>
          <cell r="C771">
            <v>2</v>
          </cell>
        </row>
        <row r="772">
          <cell r="B772">
            <v>39121</v>
          </cell>
          <cell r="C772">
            <v>2</v>
          </cell>
        </row>
        <row r="773">
          <cell r="B773">
            <v>39122</v>
          </cell>
          <cell r="C773">
            <v>2</v>
          </cell>
        </row>
        <row r="774">
          <cell r="B774">
            <v>39123</v>
          </cell>
          <cell r="C774">
            <v>2</v>
          </cell>
        </row>
        <row r="775">
          <cell r="B775">
            <v>39124</v>
          </cell>
          <cell r="C775">
            <v>2</v>
          </cell>
        </row>
        <row r="776">
          <cell r="B776">
            <v>39125</v>
          </cell>
          <cell r="C776">
            <v>2</v>
          </cell>
        </row>
        <row r="777">
          <cell r="B777">
            <v>39126</v>
          </cell>
          <cell r="C777">
            <v>2</v>
          </cell>
        </row>
        <row r="778">
          <cell r="B778">
            <v>39127</v>
          </cell>
          <cell r="C778">
            <v>2</v>
          </cell>
        </row>
        <row r="779">
          <cell r="B779">
            <v>39128</v>
          </cell>
          <cell r="C779">
            <v>2</v>
          </cell>
        </row>
        <row r="780">
          <cell r="B780">
            <v>39129</v>
          </cell>
          <cell r="C780">
            <v>2</v>
          </cell>
        </row>
        <row r="781">
          <cell r="B781">
            <v>39130</v>
          </cell>
          <cell r="C781">
            <v>2</v>
          </cell>
        </row>
        <row r="782">
          <cell r="B782">
            <v>39131</v>
          </cell>
          <cell r="C782">
            <v>2</v>
          </cell>
        </row>
        <row r="783">
          <cell r="B783">
            <v>39132</v>
          </cell>
          <cell r="C783">
            <v>2</v>
          </cell>
        </row>
        <row r="784">
          <cell r="B784">
            <v>39133</v>
          </cell>
          <cell r="C784">
            <v>2</v>
          </cell>
        </row>
        <row r="785">
          <cell r="B785">
            <v>39134</v>
          </cell>
          <cell r="C785">
            <v>2</v>
          </cell>
        </row>
        <row r="786">
          <cell r="B786">
            <v>39135</v>
          </cell>
          <cell r="C786">
            <v>2</v>
          </cell>
        </row>
        <row r="787">
          <cell r="B787">
            <v>39136</v>
          </cell>
          <cell r="C787">
            <v>2</v>
          </cell>
        </row>
        <row r="788">
          <cell r="B788">
            <v>39137</v>
          </cell>
          <cell r="C788">
            <v>2</v>
          </cell>
        </row>
        <row r="789">
          <cell r="B789">
            <v>39138</v>
          </cell>
          <cell r="C789">
            <v>2</v>
          </cell>
        </row>
        <row r="790">
          <cell r="B790">
            <v>39139</v>
          </cell>
          <cell r="C790">
            <v>2</v>
          </cell>
        </row>
        <row r="791">
          <cell r="B791">
            <v>39140</v>
          </cell>
          <cell r="C791">
            <v>2</v>
          </cell>
        </row>
        <row r="792">
          <cell r="B792">
            <v>39141</v>
          </cell>
          <cell r="C792">
            <v>2</v>
          </cell>
        </row>
        <row r="793">
          <cell r="B793">
            <v>39142</v>
          </cell>
          <cell r="C793">
            <v>3</v>
          </cell>
        </row>
        <row r="794">
          <cell r="B794">
            <v>39143</v>
          </cell>
          <cell r="C794">
            <v>3</v>
          </cell>
        </row>
        <row r="795">
          <cell r="B795">
            <v>39144</v>
          </cell>
          <cell r="C795">
            <v>3</v>
          </cell>
        </row>
        <row r="796">
          <cell r="B796">
            <v>39145</v>
          </cell>
          <cell r="C796">
            <v>3</v>
          </cell>
        </row>
        <row r="797">
          <cell r="B797">
            <v>39146</v>
          </cell>
          <cell r="C797">
            <v>3</v>
          </cell>
        </row>
        <row r="798">
          <cell r="B798">
            <v>39147</v>
          </cell>
          <cell r="C798">
            <v>3</v>
          </cell>
        </row>
        <row r="799">
          <cell r="B799">
            <v>39148</v>
          </cell>
          <cell r="C799">
            <v>3</v>
          </cell>
        </row>
        <row r="800">
          <cell r="B800">
            <v>39149</v>
          </cell>
          <cell r="C800">
            <v>3</v>
          </cell>
        </row>
        <row r="801">
          <cell r="B801">
            <v>39150</v>
          </cell>
          <cell r="C801">
            <v>3</v>
          </cell>
        </row>
        <row r="802">
          <cell r="B802">
            <v>39151</v>
          </cell>
          <cell r="C802">
            <v>3</v>
          </cell>
        </row>
        <row r="803">
          <cell r="B803">
            <v>39152</v>
          </cell>
          <cell r="C803">
            <v>3</v>
          </cell>
        </row>
        <row r="804">
          <cell r="B804">
            <v>39153</v>
          </cell>
          <cell r="C804">
            <v>3</v>
          </cell>
        </row>
        <row r="805">
          <cell r="B805">
            <v>39154</v>
          </cell>
          <cell r="C805">
            <v>3</v>
          </cell>
        </row>
        <row r="806">
          <cell r="B806">
            <v>39155</v>
          </cell>
          <cell r="C806">
            <v>3</v>
          </cell>
        </row>
        <row r="807">
          <cell r="B807">
            <v>39156</v>
          </cell>
          <cell r="C807">
            <v>3</v>
          </cell>
        </row>
        <row r="808">
          <cell r="B808">
            <v>39157</v>
          </cell>
          <cell r="C808">
            <v>3</v>
          </cell>
        </row>
        <row r="809">
          <cell r="B809">
            <v>39158</v>
          </cell>
          <cell r="C809">
            <v>3</v>
          </cell>
        </row>
        <row r="810">
          <cell r="B810">
            <v>39159</v>
          </cell>
          <cell r="C810">
            <v>3</v>
          </cell>
        </row>
        <row r="811">
          <cell r="B811">
            <v>39160</v>
          </cell>
          <cell r="C811">
            <v>3</v>
          </cell>
        </row>
        <row r="812">
          <cell r="B812">
            <v>39161</v>
          </cell>
          <cell r="C812">
            <v>3</v>
          </cell>
        </row>
        <row r="813">
          <cell r="B813">
            <v>39162</v>
          </cell>
          <cell r="C813">
            <v>3</v>
          </cell>
        </row>
        <row r="814">
          <cell r="B814">
            <v>39163</v>
          </cell>
          <cell r="C814">
            <v>3</v>
          </cell>
        </row>
        <row r="815">
          <cell r="B815">
            <v>39164</v>
          </cell>
          <cell r="C815">
            <v>3</v>
          </cell>
        </row>
        <row r="816">
          <cell r="B816">
            <v>39165</v>
          </cell>
          <cell r="C816">
            <v>3</v>
          </cell>
        </row>
        <row r="817">
          <cell r="B817">
            <v>39166</v>
          </cell>
          <cell r="C817">
            <v>3</v>
          </cell>
        </row>
        <row r="818">
          <cell r="B818">
            <v>39167</v>
          </cell>
          <cell r="C818">
            <v>3</v>
          </cell>
        </row>
        <row r="819">
          <cell r="B819">
            <v>39168</v>
          </cell>
          <cell r="C819">
            <v>3</v>
          </cell>
        </row>
        <row r="820">
          <cell r="B820">
            <v>39169</v>
          </cell>
          <cell r="C820">
            <v>3</v>
          </cell>
        </row>
        <row r="821">
          <cell r="B821">
            <v>39170</v>
          </cell>
          <cell r="C821">
            <v>3</v>
          </cell>
        </row>
        <row r="822">
          <cell r="B822">
            <v>39171</v>
          </cell>
          <cell r="C822">
            <v>3</v>
          </cell>
        </row>
        <row r="823">
          <cell r="B823">
            <v>39172</v>
          </cell>
          <cell r="C823">
            <v>3</v>
          </cell>
        </row>
        <row r="824">
          <cell r="B824">
            <v>39173</v>
          </cell>
          <cell r="C824">
            <v>4</v>
          </cell>
        </row>
        <row r="825">
          <cell r="B825">
            <v>39174</v>
          </cell>
          <cell r="C825">
            <v>4</v>
          </cell>
        </row>
        <row r="826">
          <cell r="B826">
            <v>39175</v>
          </cell>
          <cell r="C826">
            <v>4</v>
          </cell>
        </row>
        <row r="827">
          <cell r="B827">
            <v>39176</v>
          </cell>
          <cell r="C827">
            <v>4</v>
          </cell>
        </row>
        <row r="828">
          <cell r="B828">
            <v>39177</v>
          </cell>
          <cell r="C828">
            <v>4</v>
          </cell>
        </row>
        <row r="829">
          <cell r="B829">
            <v>39178</v>
          </cell>
          <cell r="C829">
            <v>4</v>
          </cell>
        </row>
        <row r="830">
          <cell r="B830">
            <v>39179</v>
          </cell>
          <cell r="C830">
            <v>4</v>
          </cell>
        </row>
        <row r="831">
          <cell r="B831">
            <v>39180</v>
          </cell>
          <cell r="C831">
            <v>4</v>
          </cell>
        </row>
        <row r="832">
          <cell r="B832">
            <v>39181</v>
          </cell>
          <cell r="C832">
            <v>4</v>
          </cell>
        </row>
        <row r="833">
          <cell r="B833">
            <v>39182</v>
          </cell>
          <cell r="C833">
            <v>4</v>
          </cell>
        </row>
        <row r="834">
          <cell r="B834">
            <v>39183</v>
          </cell>
          <cell r="C834">
            <v>4</v>
          </cell>
        </row>
        <row r="835">
          <cell r="B835">
            <v>39184</v>
          </cell>
          <cell r="C835">
            <v>4</v>
          </cell>
        </row>
        <row r="836">
          <cell r="B836">
            <v>39185</v>
          </cell>
          <cell r="C836">
            <v>4</v>
          </cell>
        </row>
        <row r="837">
          <cell r="B837">
            <v>39186</v>
          </cell>
          <cell r="C837">
            <v>4</v>
          </cell>
        </row>
        <row r="838">
          <cell r="B838">
            <v>39187</v>
          </cell>
          <cell r="C838">
            <v>4</v>
          </cell>
        </row>
        <row r="839">
          <cell r="B839">
            <v>39188</v>
          </cell>
          <cell r="C839">
            <v>4</v>
          </cell>
        </row>
        <row r="840">
          <cell r="B840">
            <v>39189</v>
          </cell>
          <cell r="C840">
            <v>4</v>
          </cell>
        </row>
        <row r="841">
          <cell r="B841">
            <v>39190</v>
          </cell>
          <cell r="C841">
            <v>4</v>
          </cell>
        </row>
        <row r="842">
          <cell r="B842">
            <v>39191</v>
          </cell>
          <cell r="C842">
            <v>4</v>
          </cell>
        </row>
        <row r="843">
          <cell r="B843">
            <v>39192</v>
          </cell>
          <cell r="C843">
            <v>4</v>
          </cell>
        </row>
        <row r="844">
          <cell r="B844">
            <v>39193</v>
          </cell>
          <cell r="C844">
            <v>4</v>
          </cell>
        </row>
        <row r="845">
          <cell r="B845">
            <v>39194</v>
          </cell>
          <cell r="C845">
            <v>4</v>
          </cell>
        </row>
        <row r="846">
          <cell r="B846">
            <v>39195</v>
          </cell>
          <cell r="C846">
            <v>4</v>
          </cell>
        </row>
        <row r="847">
          <cell r="B847">
            <v>39196</v>
          </cell>
          <cell r="C847">
            <v>4</v>
          </cell>
        </row>
        <row r="848">
          <cell r="B848">
            <v>39197</v>
          </cell>
          <cell r="C848">
            <v>4</v>
          </cell>
        </row>
        <row r="849">
          <cell r="B849">
            <v>39198</v>
          </cell>
          <cell r="C849">
            <v>4</v>
          </cell>
        </row>
        <row r="850">
          <cell r="B850">
            <v>39199</v>
          </cell>
          <cell r="C850">
            <v>4</v>
          </cell>
        </row>
        <row r="851">
          <cell r="B851">
            <v>39200</v>
          </cell>
          <cell r="C851">
            <v>4</v>
          </cell>
        </row>
        <row r="852">
          <cell r="B852">
            <v>39201</v>
          </cell>
          <cell r="C852">
            <v>4</v>
          </cell>
        </row>
        <row r="853">
          <cell r="B853">
            <v>39202</v>
          </cell>
          <cell r="C853">
            <v>4</v>
          </cell>
        </row>
        <row r="854">
          <cell r="B854">
            <v>39203</v>
          </cell>
          <cell r="C854">
            <v>5</v>
          </cell>
        </row>
        <row r="855">
          <cell r="B855">
            <v>39204</v>
          </cell>
          <cell r="C855">
            <v>5</v>
          </cell>
        </row>
        <row r="856">
          <cell r="B856">
            <v>39205</v>
          </cell>
          <cell r="C856">
            <v>5</v>
          </cell>
        </row>
        <row r="857">
          <cell r="B857">
            <v>39206</v>
          </cell>
          <cell r="C857">
            <v>5</v>
          </cell>
        </row>
        <row r="858">
          <cell r="B858">
            <v>39207</v>
          </cell>
          <cell r="C858">
            <v>5</v>
          </cell>
        </row>
        <row r="859">
          <cell r="B859">
            <v>39208</v>
          </cell>
          <cell r="C859">
            <v>5</v>
          </cell>
        </row>
        <row r="860">
          <cell r="B860">
            <v>39209</v>
          </cell>
          <cell r="C860">
            <v>5</v>
          </cell>
        </row>
        <row r="861">
          <cell r="B861">
            <v>39210</v>
          </cell>
          <cell r="C861">
            <v>5</v>
          </cell>
        </row>
        <row r="862">
          <cell r="B862">
            <v>39211</v>
          </cell>
          <cell r="C862">
            <v>5</v>
          </cell>
        </row>
        <row r="863">
          <cell r="B863">
            <v>39212</v>
          </cell>
          <cell r="C863">
            <v>5</v>
          </cell>
        </row>
        <row r="864">
          <cell r="B864">
            <v>39213</v>
          </cell>
          <cell r="C864">
            <v>5</v>
          </cell>
        </row>
        <row r="865">
          <cell r="B865">
            <v>39214</v>
          </cell>
          <cell r="C865">
            <v>5</v>
          </cell>
        </row>
        <row r="866">
          <cell r="B866">
            <v>39215</v>
          </cell>
          <cell r="C866">
            <v>5</v>
          </cell>
        </row>
        <row r="867">
          <cell r="B867">
            <v>39216</v>
          </cell>
          <cell r="C867">
            <v>5</v>
          </cell>
        </row>
        <row r="868">
          <cell r="B868">
            <v>39217</v>
          </cell>
          <cell r="C868">
            <v>5</v>
          </cell>
        </row>
        <row r="869">
          <cell r="B869">
            <v>39218</v>
          </cell>
          <cell r="C869">
            <v>5</v>
          </cell>
        </row>
        <row r="870">
          <cell r="B870">
            <v>39219</v>
          </cell>
          <cell r="C870">
            <v>5</v>
          </cell>
        </row>
        <row r="871">
          <cell r="B871">
            <v>39220</v>
          </cell>
          <cell r="C871">
            <v>5</v>
          </cell>
        </row>
        <row r="872">
          <cell r="B872">
            <v>39221</v>
          </cell>
          <cell r="C872">
            <v>5</v>
          </cell>
        </row>
        <row r="873">
          <cell r="B873">
            <v>39222</v>
          </cell>
          <cell r="C873">
            <v>5</v>
          </cell>
        </row>
        <row r="874">
          <cell r="B874">
            <v>39223</v>
          </cell>
          <cell r="C874">
            <v>5</v>
          </cell>
        </row>
        <row r="875">
          <cell r="B875">
            <v>39224</v>
          </cell>
          <cell r="C875">
            <v>5</v>
          </cell>
        </row>
        <row r="876">
          <cell r="B876">
            <v>39225</v>
          </cell>
          <cell r="C876">
            <v>5</v>
          </cell>
        </row>
        <row r="877">
          <cell r="B877">
            <v>39226</v>
          </cell>
          <cell r="C877">
            <v>5</v>
          </cell>
        </row>
        <row r="878">
          <cell r="B878">
            <v>39227</v>
          </cell>
          <cell r="C878">
            <v>5</v>
          </cell>
        </row>
        <row r="879">
          <cell r="B879">
            <v>39228</v>
          </cell>
          <cell r="C879">
            <v>5</v>
          </cell>
        </row>
        <row r="880">
          <cell r="B880">
            <v>39229</v>
          </cell>
          <cell r="C880">
            <v>5</v>
          </cell>
        </row>
        <row r="881">
          <cell r="B881">
            <v>39230</v>
          </cell>
          <cell r="C881">
            <v>5</v>
          </cell>
        </row>
        <row r="882">
          <cell r="B882">
            <v>39231</v>
          </cell>
          <cell r="C882">
            <v>5</v>
          </cell>
        </row>
        <row r="883">
          <cell r="B883">
            <v>39232</v>
          </cell>
          <cell r="C883">
            <v>5</v>
          </cell>
        </row>
        <row r="884">
          <cell r="B884">
            <v>39233</v>
          </cell>
          <cell r="C884">
            <v>5</v>
          </cell>
        </row>
        <row r="885">
          <cell r="B885">
            <v>39234</v>
          </cell>
          <cell r="C885">
            <v>6</v>
          </cell>
        </row>
        <row r="886">
          <cell r="B886">
            <v>39235</v>
          </cell>
          <cell r="C886">
            <v>6</v>
          </cell>
        </row>
        <row r="887">
          <cell r="B887">
            <v>39236</v>
          </cell>
          <cell r="C887">
            <v>6</v>
          </cell>
        </row>
        <row r="888">
          <cell r="B888">
            <v>39237</v>
          </cell>
          <cell r="C888">
            <v>6</v>
          </cell>
        </row>
        <row r="889">
          <cell r="B889">
            <v>39238</v>
          </cell>
          <cell r="C889">
            <v>6</v>
          </cell>
        </row>
        <row r="890">
          <cell r="B890">
            <v>39239</v>
          </cell>
          <cell r="C890">
            <v>6</v>
          </cell>
        </row>
        <row r="891">
          <cell r="B891">
            <v>39240</v>
          </cell>
          <cell r="C891">
            <v>6</v>
          </cell>
        </row>
        <row r="892">
          <cell r="B892">
            <v>39241</v>
          </cell>
          <cell r="C892">
            <v>6</v>
          </cell>
        </row>
        <row r="893">
          <cell r="B893">
            <v>39242</v>
          </cell>
          <cell r="C893">
            <v>6</v>
          </cell>
        </row>
        <row r="894">
          <cell r="B894">
            <v>39243</v>
          </cell>
          <cell r="C894">
            <v>6</v>
          </cell>
        </row>
        <row r="895">
          <cell r="B895">
            <v>39244</v>
          </cell>
          <cell r="C895">
            <v>6</v>
          </cell>
        </row>
        <row r="896">
          <cell r="B896">
            <v>39245</v>
          </cell>
          <cell r="C896">
            <v>6</v>
          </cell>
        </row>
        <row r="897">
          <cell r="B897">
            <v>39246</v>
          </cell>
          <cell r="C897">
            <v>6</v>
          </cell>
        </row>
        <row r="898">
          <cell r="B898">
            <v>39247</v>
          </cell>
          <cell r="C898">
            <v>6</v>
          </cell>
        </row>
        <row r="899">
          <cell r="B899">
            <v>39248</v>
          </cell>
          <cell r="C899">
            <v>6</v>
          </cell>
        </row>
        <row r="900">
          <cell r="B900">
            <v>39249</v>
          </cell>
          <cell r="C900">
            <v>6</v>
          </cell>
        </row>
        <row r="901">
          <cell r="B901">
            <v>39250</v>
          </cell>
          <cell r="C901">
            <v>6</v>
          </cell>
        </row>
        <row r="902">
          <cell r="B902">
            <v>39251</v>
          </cell>
          <cell r="C902">
            <v>6</v>
          </cell>
        </row>
        <row r="903">
          <cell r="B903">
            <v>39252</v>
          </cell>
          <cell r="C903">
            <v>6</v>
          </cell>
        </row>
        <row r="904">
          <cell r="B904">
            <v>39253</v>
          </cell>
          <cell r="C904">
            <v>6</v>
          </cell>
        </row>
        <row r="905">
          <cell r="B905">
            <v>39254</v>
          </cell>
          <cell r="C905">
            <v>6</v>
          </cell>
        </row>
        <row r="906">
          <cell r="B906">
            <v>39255</v>
          </cell>
          <cell r="C906">
            <v>6</v>
          </cell>
        </row>
        <row r="907">
          <cell r="B907">
            <v>39256</v>
          </cell>
          <cell r="C907">
            <v>6</v>
          </cell>
        </row>
        <row r="908">
          <cell r="B908">
            <v>39257</v>
          </cell>
          <cell r="C908">
            <v>6</v>
          </cell>
        </row>
        <row r="909">
          <cell r="B909">
            <v>39258</v>
          </cell>
          <cell r="C909">
            <v>6</v>
          </cell>
        </row>
        <row r="910">
          <cell r="B910">
            <v>39259</v>
          </cell>
          <cell r="C910">
            <v>6</v>
          </cell>
        </row>
        <row r="911">
          <cell r="B911">
            <v>39260</v>
          </cell>
          <cell r="C911">
            <v>6</v>
          </cell>
        </row>
        <row r="912">
          <cell r="B912">
            <v>39261</v>
          </cell>
          <cell r="C912">
            <v>6</v>
          </cell>
        </row>
        <row r="913">
          <cell r="B913">
            <v>39262</v>
          </cell>
          <cell r="C913">
            <v>6</v>
          </cell>
        </row>
        <row r="914">
          <cell r="B914">
            <v>39263</v>
          </cell>
          <cell r="C914">
            <v>6</v>
          </cell>
        </row>
        <row r="915">
          <cell r="B915">
            <v>39264</v>
          </cell>
          <cell r="C915">
            <v>7</v>
          </cell>
        </row>
        <row r="916">
          <cell r="B916">
            <v>39265</v>
          </cell>
          <cell r="C916">
            <v>7</v>
          </cell>
        </row>
        <row r="917">
          <cell r="B917">
            <v>39266</v>
          </cell>
          <cell r="C917">
            <v>7</v>
          </cell>
        </row>
        <row r="918">
          <cell r="B918">
            <v>39267</v>
          </cell>
          <cell r="C918">
            <v>7</v>
          </cell>
        </row>
        <row r="919">
          <cell r="B919">
            <v>39268</v>
          </cell>
          <cell r="C919">
            <v>7</v>
          </cell>
        </row>
        <row r="920">
          <cell r="B920">
            <v>39269</v>
          </cell>
          <cell r="C920">
            <v>7</v>
          </cell>
        </row>
        <row r="921">
          <cell r="B921">
            <v>39270</v>
          </cell>
          <cell r="C921">
            <v>7</v>
          </cell>
        </row>
        <row r="922">
          <cell r="B922">
            <v>39271</v>
          </cell>
          <cell r="C922">
            <v>7</v>
          </cell>
        </row>
        <row r="923">
          <cell r="B923">
            <v>39272</v>
          </cell>
          <cell r="C923">
            <v>7</v>
          </cell>
        </row>
        <row r="924">
          <cell r="B924">
            <v>39273</v>
          </cell>
          <cell r="C924">
            <v>7</v>
          </cell>
        </row>
        <row r="925">
          <cell r="B925">
            <v>39274</v>
          </cell>
          <cell r="C925">
            <v>7</v>
          </cell>
        </row>
        <row r="926">
          <cell r="B926">
            <v>39275</v>
          </cell>
          <cell r="C926">
            <v>7</v>
          </cell>
        </row>
        <row r="927">
          <cell r="B927">
            <v>39276</v>
          </cell>
          <cell r="C927">
            <v>7</v>
          </cell>
        </row>
        <row r="928">
          <cell r="B928">
            <v>39277</v>
          </cell>
          <cell r="C928">
            <v>7</v>
          </cell>
        </row>
        <row r="929">
          <cell r="B929">
            <v>39278</v>
          </cell>
          <cell r="C929">
            <v>7</v>
          </cell>
        </row>
        <row r="930">
          <cell r="B930">
            <v>39279</v>
          </cell>
          <cell r="C930">
            <v>7</v>
          </cell>
        </row>
        <row r="931">
          <cell r="B931">
            <v>39280</v>
          </cell>
          <cell r="C931">
            <v>7</v>
          </cell>
        </row>
        <row r="932">
          <cell r="B932">
            <v>39281</v>
          </cell>
          <cell r="C932">
            <v>7</v>
          </cell>
        </row>
        <row r="933">
          <cell r="B933">
            <v>39282</v>
          </cell>
          <cell r="C933">
            <v>7</v>
          </cell>
        </row>
        <row r="934">
          <cell r="B934">
            <v>39283</v>
          </cell>
          <cell r="C934">
            <v>7</v>
          </cell>
        </row>
        <row r="935">
          <cell r="B935">
            <v>39284</v>
          </cell>
          <cell r="C935">
            <v>7</v>
          </cell>
        </row>
        <row r="936">
          <cell r="B936">
            <v>39285</v>
          </cell>
          <cell r="C936">
            <v>7</v>
          </cell>
        </row>
        <row r="937">
          <cell r="B937">
            <v>39286</v>
          </cell>
          <cell r="C937">
            <v>7</v>
          </cell>
        </row>
        <row r="938">
          <cell r="B938">
            <v>39287</v>
          </cell>
          <cell r="C938">
            <v>7</v>
          </cell>
        </row>
        <row r="939">
          <cell r="B939">
            <v>39288</v>
          </cell>
          <cell r="C939">
            <v>7</v>
          </cell>
        </row>
        <row r="940">
          <cell r="B940">
            <v>39289</v>
          </cell>
          <cell r="C940">
            <v>7</v>
          </cell>
        </row>
        <row r="941">
          <cell r="B941">
            <v>39290</v>
          </cell>
          <cell r="C941">
            <v>7</v>
          </cell>
        </row>
        <row r="942">
          <cell r="B942">
            <v>39291</v>
          </cell>
          <cell r="C942">
            <v>7</v>
          </cell>
        </row>
        <row r="943">
          <cell r="B943">
            <v>39292</v>
          </cell>
          <cell r="C943">
            <v>7</v>
          </cell>
        </row>
        <row r="944">
          <cell r="B944">
            <v>39293</v>
          </cell>
          <cell r="C944">
            <v>7</v>
          </cell>
        </row>
        <row r="945">
          <cell r="B945">
            <v>39294</v>
          </cell>
          <cell r="C945">
            <v>7</v>
          </cell>
        </row>
        <row r="946">
          <cell r="B946">
            <v>39295</v>
          </cell>
          <cell r="C946">
            <v>8</v>
          </cell>
        </row>
        <row r="947">
          <cell r="B947">
            <v>39296</v>
          </cell>
          <cell r="C947">
            <v>8</v>
          </cell>
        </row>
        <row r="948">
          <cell r="B948">
            <v>39297</v>
          </cell>
          <cell r="C948">
            <v>8</v>
          </cell>
        </row>
        <row r="949">
          <cell r="B949">
            <v>39298</v>
          </cell>
          <cell r="C949">
            <v>8</v>
          </cell>
        </row>
        <row r="950">
          <cell r="B950">
            <v>39299</v>
          </cell>
          <cell r="C950">
            <v>8</v>
          </cell>
        </row>
        <row r="951">
          <cell r="B951">
            <v>39300</v>
          </cell>
          <cell r="C951">
            <v>8</v>
          </cell>
        </row>
        <row r="952">
          <cell r="B952">
            <v>39301</v>
          </cell>
          <cell r="C952">
            <v>8</v>
          </cell>
        </row>
        <row r="953">
          <cell r="B953">
            <v>39302</v>
          </cell>
          <cell r="C953">
            <v>8</v>
          </cell>
        </row>
        <row r="954">
          <cell r="B954">
            <v>39303</v>
          </cell>
          <cell r="C954">
            <v>8</v>
          </cell>
        </row>
        <row r="955">
          <cell r="B955">
            <v>39304</v>
          </cell>
          <cell r="C955">
            <v>8</v>
          </cell>
        </row>
        <row r="956">
          <cell r="B956">
            <v>39305</v>
          </cell>
          <cell r="C956">
            <v>8</v>
          </cell>
        </row>
        <row r="957">
          <cell r="B957">
            <v>39306</v>
          </cell>
          <cell r="C957">
            <v>8</v>
          </cell>
        </row>
        <row r="958">
          <cell r="B958">
            <v>39307</v>
          </cell>
          <cell r="C958">
            <v>8</v>
          </cell>
        </row>
        <row r="959">
          <cell r="B959">
            <v>39308</v>
          </cell>
          <cell r="C959">
            <v>8</v>
          </cell>
        </row>
        <row r="960">
          <cell r="B960">
            <v>39309</v>
          </cell>
          <cell r="C960">
            <v>8</v>
          </cell>
        </row>
        <row r="961">
          <cell r="B961">
            <v>39310</v>
          </cell>
          <cell r="C961">
            <v>8</v>
          </cell>
        </row>
        <row r="962">
          <cell r="B962">
            <v>39311</v>
          </cell>
          <cell r="C962">
            <v>8</v>
          </cell>
        </row>
        <row r="963">
          <cell r="B963">
            <v>39312</v>
          </cell>
          <cell r="C963">
            <v>8</v>
          </cell>
        </row>
        <row r="964">
          <cell r="B964">
            <v>39313</v>
          </cell>
          <cell r="C964">
            <v>8</v>
          </cell>
        </row>
        <row r="965">
          <cell r="B965">
            <v>39314</v>
          </cell>
          <cell r="C965">
            <v>8</v>
          </cell>
        </row>
        <row r="966">
          <cell r="B966">
            <v>39315</v>
          </cell>
          <cell r="C966">
            <v>8</v>
          </cell>
        </row>
        <row r="967">
          <cell r="B967">
            <v>39316</v>
          </cell>
          <cell r="C967">
            <v>8</v>
          </cell>
        </row>
        <row r="968">
          <cell r="B968">
            <v>39317</v>
          </cell>
          <cell r="C968">
            <v>8</v>
          </cell>
        </row>
        <row r="969">
          <cell r="B969">
            <v>39318</v>
          </cell>
          <cell r="C969">
            <v>8</v>
          </cell>
        </row>
        <row r="970">
          <cell r="B970">
            <v>39319</v>
          </cell>
          <cell r="C970">
            <v>8</v>
          </cell>
        </row>
        <row r="971">
          <cell r="B971">
            <v>39320</v>
          </cell>
          <cell r="C971">
            <v>8</v>
          </cell>
        </row>
        <row r="972">
          <cell r="B972">
            <v>39321</v>
          </cell>
          <cell r="C972">
            <v>8</v>
          </cell>
        </row>
        <row r="973">
          <cell r="B973">
            <v>39322</v>
          </cell>
          <cell r="C973">
            <v>8</v>
          </cell>
        </row>
        <row r="974">
          <cell r="B974">
            <v>39323</v>
          </cell>
          <cell r="C974">
            <v>8</v>
          </cell>
        </row>
        <row r="975">
          <cell r="B975">
            <v>39324</v>
          </cell>
          <cell r="C975">
            <v>8</v>
          </cell>
        </row>
        <row r="976">
          <cell r="B976">
            <v>39325</v>
          </cell>
          <cell r="C976">
            <v>8</v>
          </cell>
        </row>
        <row r="977">
          <cell r="B977">
            <v>39326</v>
          </cell>
          <cell r="C977">
            <v>9</v>
          </cell>
        </row>
        <row r="978">
          <cell r="B978">
            <v>39327</v>
          </cell>
          <cell r="C978">
            <v>9</v>
          </cell>
        </row>
        <row r="979">
          <cell r="B979">
            <v>39328</v>
          </cell>
          <cell r="C979">
            <v>9</v>
          </cell>
        </row>
        <row r="980">
          <cell r="B980">
            <v>39329</v>
          </cell>
          <cell r="C980">
            <v>9</v>
          </cell>
        </row>
        <row r="981">
          <cell r="B981">
            <v>39330</v>
          </cell>
          <cell r="C981">
            <v>9</v>
          </cell>
        </row>
        <row r="982">
          <cell r="B982">
            <v>39331</v>
          </cell>
          <cell r="C982">
            <v>9</v>
          </cell>
        </row>
        <row r="983">
          <cell r="B983">
            <v>39332</v>
          </cell>
          <cell r="C983">
            <v>9</v>
          </cell>
        </row>
        <row r="984">
          <cell r="B984">
            <v>39333</v>
          </cell>
          <cell r="C984">
            <v>9</v>
          </cell>
        </row>
        <row r="985">
          <cell r="B985">
            <v>39334</v>
          </cell>
          <cell r="C985">
            <v>9</v>
          </cell>
        </row>
        <row r="986">
          <cell r="B986">
            <v>39335</v>
          </cell>
          <cell r="C986">
            <v>9</v>
          </cell>
        </row>
        <row r="987">
          <cell r="B987">
            <v>39336</v>
          </cell>
          <cell r="C987">
            <v>9</v>
          </cell>
        </row>
        <row r="988">
          <cell r="B988">
            <v>39337</v>
          </cell>
          <cell r="C988">
            <v>9</v>
          </cell>
        </row>
        <row r="989">
          <cell r="B989">
            <v>39338</v>
          </cell>
          <cell r="C989">
            <v>9</v>
          </cell>
        </row>
        <row r="990">
          <cell r="B990">
            <v>39339</v>
          </cell>
          <cell r="C990">
            <v>9</v>
          </cell>
        </row>
        <row r="991">
          <cell r="B991">
            <v>39340</v>
          </cell>
          <cell r="C991">
            <v>9</v>
          </cell>
        </row>
        <row r="992">
          <cell r="B992">
            <v>39341</v>
          </cell>
          <cell r="C992">
            <v>9</v>
          </cell>
        </row>
        <row r="993">
          <cell r="B993">
            <v>39342</v>
          </cell>
          <cell r="C993">
            <v>9</v>
          </cell>
        </row>
        <row r="994">
          <cell r="B994">
            <v>39343</v>
          </cell>
          <cell r="C994">
            <v>9</v>
          </cell>
        </row>
        <row r="995">
          <cell r="B995">
            <v>39344</v>
          </cell>
          <cell r="C995">
            <v>9</v>
          </cell>
        </row>
        <row r="996">
          <cell r="B996">
            <v>39345</v>
          </cell>
          <cell r="C996">
            <v>9</v>
          </cell>
        </row>
        <row r="997">
          <cell r="B997">
            <v>39346</v>
          </cell>
          <cell r="C997">
            <v>9</v>
          </cell>
        </row>
        <row r="998">
          <cell r="B998">
            <v>39347</v>
          </cell>
          <cell r="C998">
            <v>9</v>
          </cell>
        </row>
        <row r="999">
          <cell r="B999">
            <v>39348</v>
          </cell>
          <cell r="C999">
            <v>9</v>
          </cell>
        </row>
        <row r="1000">
          <cell r="B1000">
            <v>39349</v>
          </cell>
          <cell r="C1000">
            <v>9</v>
          </cell>
        </row>
        <row r="1001">
          <cell r="B1001">
            <v>39350</v>
          </cell>
          <cell r="C1001">
            <v>9</v>
          </cell>
        </row>
        <row r="1002">
          <cell r="B1002">
            <v>39351</v>
          </cell>
          <cell r="C1002">
            <v>9</v>
          </cell>
        </row>
        <row r="1003">
          <cell r="B1003">
            <v>39352</v>
          </cell>
          <cell r="C1003">
            <v>9</v>
          </cell>
        </row>
        <row r="1004">
          <cell r="B1004">
            <v>39353</v>
          </cell>
          <cell r="C1004">
            <v>9</v>
          </cell>
        </row>
        <row r="1005">
          <cell r="B1005">
            <v>39354</v>
          </cell>
          <cell r="C1005">
            <v>9</v>
          </cell>
        </row>
        <row r="1006">
          <cell r="B1006">
            <v>39355</v>
          </cell>
          <cell r="C1006">
            <v>9</v>
          </cell>
        </row>
        <row r="1007">
          <cell r="B1007">
            <v>39356</v>
          </cell>
          <cell r="C1007">
            <v>10</v>
          </cell>
        </row>
        <row r="1008">
          <cell r="B1008">
            <v>39357</v>
          </cell>
          <cell r="C1008">
            <v>10</v>
          </cell>
        </row>
        <row r="1009">
          <cell r="B1009">
            <v>39358</v>
          </cell>
          <cell r="C1009">
            <v>10</v>
          </cell>
        </row>
        <row r="1010">
          <cell r="B1010">
            <v>39359</v>
          </cell>
          <cell r="C1010">
            <v>10</v>
          </cell>
        </row>
        <row r="1011">
          <cell r="B1011">
            <v>39360</v>
          </cell>
          <cell r="C1011">
            <v>10</v>
          </cell>
        </row>
        <row r="1012">
          <cell r="B1012">
            <v>39361</v>
          </cell>
          <cell r="C1012">
            <v>10</v>
          </cell>
        </row>
        <row r="1013">
          <cell r="B1013">
            <v>39362</v>
          </cell>
          <cell r="C1013">
            <v>10</v>
          </cell>
        </row>
        <row r="1014">
          <cell r="B1014">
            <v>39363</v>
          </cell>
          <cell r="C1014">
            <v>10</v>
          </cell>
        </row>
        <row r="1015">
          <cell r="B1015">
            <v>39364</v>
          </cell>
          <cell r="C1015">
            <v>10</v>
          </cell>
        </row>
        <row r="1016">
          <cell r="B1016">
            <v>39365</v>
          </cell>
          <cell r="C1016">
            <v>10</v>
          </cell>
        </row>
        <row r="1017">
          <cell r="B1017">
            <v>39366</v>
          </cell>
          <cell r="C1017">
            <v>10</v>
          </cell>
        </row>
        <row r="1018">
          <cell r="B1018">
            <v>39367</v>
          </cell>
          <cell r="C1018">
            <v>10</v>
          </cell>
        </row>
        <row r="1019">
          <cell r="B1019">
            <v>39368</v>
          </cell>
          <cell r="C1019">
            <v>10</v>
          </cell>
        </row>
        <row r="1020">
          <cell r="B1020">
            <v>39369</v>
          </cell>
          <cell r="C1020">
            <v>10</v>
          </cell>
        </row>
        <row r="1021">
          <cell r="B1021">
            <v>39370</v>
          </cell>
          <cell r="C1021">
            <v>10</v>
          </cell>
        </row>
        <row r="1022">
          <cell r="B1022">
            <v>39371</v>
          </cell>
          <cell r="C1022">
            <v>10</v>
          </cell>
        </row>
        <row r="1023">
          <cell r="B1023">
            <v>39372</v>
          </cell>
          <cell r="C1023">
            <v>10</v>
          </cell>
        </row>
        <row r="1024">
          <cell r="B1024">
            <v>39373</v>
          </cell>
          <cell r="C1024">
            <v>10</v>
          </cell>
        </row>
        <row r="1025">
          <cell r="B1025">
            <v>39374</v>
          </cell>
          <cell r="C1025">
            <v>10</v>
          </cell>
        </row>
        <row r="1026">
          <cell r="B1026">
            <v>39375</v>
          </cell>
          <cell r="C1026">
            <v>10</v>
          </cell>
        </row>
        <row r="1027">
          <cell r="B1027">
            <v>39376</v>
          </cell>
          <cell r="C1027">
            <v>10</v>
          </cell>
        </row>
        <row r="1028">
          <cell r="B1028">
            <v>39377</v>
          </cell>
          <cell r="C1028">
            <v>10</v>
          </cell>
        </row>
        <row r="1029">
          <cell r="B1029">
            <v>39378</v>
          </cell>
          <cell r="C1029">
            <v>10</v>
          </cell>
        </row>
        <row r="1030">
          <cell r="B1030">
            <v>39379</v>
          </cell>
          <cell r="C1030">
            <v>10</v>
          </cell>
        </row>
        <row r="1031">
          <cell r="B1031">
            <v>39380</v>
          </cell>
          <cell r="C1031">
            <v>10</v>
          </cell>
        </row>
        <row r="1032">
          <cell r="B1032">
            <v>39381</v>
          </cell>
          <cell r="C1032">
            <v>10</v>
          </cell>
        </row>
        <row r="1033">
          <cell r="B1033">
            <v>39382</v>
          </cell>
          <cell r="C1033">
            <v>10</v>
          </cell>
        </row>
        <row r="1034">
          <cell r="B1034">
            <v>39383</v>
          </cell>
          <cell r="C1034">
            <v>10</v>
          </cell>
        </row>
        <row r="1035">
          <cell r="B1035">
            <v>39384</v>
          </cell>
          <cell r="C1035">
            <v>10</v>
          </cell>
        </row>
        <row r="1036">
          <cell r="B1036">
            <v>39385</v>
          </cell>
          <cell r="C1036">
            <v>10</v>
          </cell>
        </row>
        <row r="1037">
          <cell r="B1037">
            <v>39386</v>
          </cell>
          <cell r="C1037">
            <v>10</v>
          </cell>
        </row>
        <row r="1038">
          <cell r="B1038">
            <v>39387</v>
          </cell>
          <cell r="C1038">
            <v>11</v>
          </cell>
        </row>
        <row r="1039">
          <cell r="B1039">
            <v>39388</v>
          </cell>
          <cell r="C1039">
            <v>11</v>
          </cell>
        </row>
        <row r="1040">
          <cell r="B1040">
            <v>39389</v>
          </cell>
          <cell r="C1040">
            <v>11</v>
          </cell>
        </row>
        <row r="1041">
          <cell r="B1041">
            <v>39390</v>
          </cell>
          <cell r="C1041">
            <v>11</v>
          </cell>
        </row>
        <row r="1042">
          <cell r="B1042">
            <v>39391</v>
          </cell>
          <cell r="C1042">
            <v>11</v>
          </cell>
        </row>
        <row r="1043">
          <cell r="B1043">
            <v>39392</v>
          </cell>
          <cell r="C1043">
            <v>11</v>
          </cell>
        </row>
        <row r="1044">
          <cell r="B1044">
            <v>39393</v>
          </cell>
          <cell r="C1044">
            <v>11</v>
          </cell>
        </row>
        <row r="1045">
          <cell r="B1045">
            <v>39394</v>
          </cell>
          <cell r="C1045">
            <v>11</v>
          </cell>
        </row>
        <row r="1046">
          <cell r="B1046">
            <v>39395</v>
          </cell>
          <cell r="C1046">
            <v>11</v>
          </cell>
        </row>
        <row r="1047">
          <cell r="B1047">
            <v>39396</v>
          </cell>
          <cell r="C1047">
            <v>11</v>
          </cell>
        </row>
        <row r="1048">
          <cell r="B1048">
            <v>39397</v>
          </cell>
          <cell r="C1048">
            <v>11</v>
          </cell>
        </row>
        <row r="1049">
          <cell r="B1049">
            <v>39398</v>
          </cell>
          <cell r="C1049">
            <v>11</v>
          </cell>
        </row>
        <row r="1050">
          <cell r="B1050">
            <v>39399</v>
          </cell>
          <cell r="C1050">
            <v>11</v>
          </cell>
        </row>
        <row r="1051">
          <cell r="B1051">
            <v>39400</v>
          </cell>
          <cell r="C1051">
            <v>11</v>
          </cell>
        </row>
        <row r="1052">
          <cell r="B1052">
            <v>39401</v>
          </cell>
          <cell r="C1052">
            <v>11</v>
          </cell>
        </row>
        <row r="1053">
          <cell r="B1053">
            <v>39402</v>
          </cell>
          <cell r="C1053">
            <v>11</v>
          </cell>
        </row>
        <row r="1054">
          <cell r="B1054">
            <v>39403</v>
          </cell>
          <cell r="C1054">
            <v>11</v>
          </cell>
        </row>
        <row r="1055">
          <cell r="B1055">
            <v>39404</v>
          </cell>
          <cell r="C1055">
            <v>11</v>
          </cell>
        </row>
        <row r="1056">
          <cell r="B1056">
            <v>39405</v>
          </cell>
          <cell r="C1056">
            <v>11</v>
          </cell>
        </row>
        <row r="1057">
          <cell r="B1057">
            <v>39406</v>
          </cell>
          <cell r="C1057">
            <v>11</v>
          </cell>
        </row>
        <row r="1058">
          <cell r="B1058">
            <v>39407</v>
          </cell>
          <cell r="C1058">
            <v>11</v>
          </cell>
        </row>
        <row r="1059">
          <cell r="B1059">
            <v>39408</v>
          </cell>
          <cell r="C1059">
            <v>11</v>
          </cell>
        </row>
        <row r="1060">
          <cell r="B1060">
            <v>39409</v>
          </cell>
          <cell r="C1060">
            <v>11</v>
          </cell>
        </row>
        <row r="1061">
          <cell r="B1061">
            <v>39410</v>
          </cell>
          <cell r="C1061">
            <v>11</v>
          </cell>
        </row>
        <row r="1062">
          <cell r="B1062">
            <v>39411</v>
          </cell>
          <cell r="C1062">
            <v>11</v>
          </cell>
        </row>
        <row r="1063">
          <cell r="B1063">
            <v>39412</v>
          </cell>
          <cell r="C1063">
            <v>11</v>
          </cell>
        </row>
        <row r="1064">
          <cell r="B1064">
            <v>39413</v>
          </cell>
          <cell r="C1064">
            <v>11</v>
          </cell>
        </row>
        <row r="1065">
          <cell r="B1065">
            <v>39414</v>
          </cell>
          <cell r="C1065">
            <v>11</v>
          </cell>
        </row>
        <row r="1066">
          <cell r="B1066">
            <v>39415</v>
          </cell>
          <cell r="C1066">
            <v>11</v>
          </cell>
        </row>
        <row r="1067">
          <cell r="B1067">
            <v>39416</v>
          </cell>
          <cell r="C1067">
            <v>11</v>
          </cell>
        </row>
        <row r="1068">
          <cell r="B1068">
            <v>39417</v>
          </cell>
          <cell r="C1068">
            <v>12</v>
          </cell>
        </row>
        <row r="1069">
          <cell r="B1069">
            <v>39418</v>
          </cell>
          <cell r="C1069">
            <v>12</v>
          </cell>
        </row>
        <row r="1070">
          <cell r="B1070">
            <v>39419</v>
          </cell>
          <cell r="C1070">
            <v>12</v>
          </cell>
        </row>
        <row r="1071">
          <cell r="B1071">
            <v>39420</v>
          </cell>
          <cell r="C1071">
            <v>12</v>
          </cell>
        </row>
        <row r="1072">
          <cell r="B1072">
            <v>39421</v>
          </cell>
          <cell r="C1072">
            <v>12</v>
          </cell>
        </row>
        <row r="1073">
          <cell r="B1073">
            <v>39422</v>
          </cell>
          <cell r="C1073">
            <v>12</v>
          </cell>
        </row>
        <row r="1074">
          <cell r="B1074">
            <v>39423</v>
          </cell>
          <cell r="C1074">
            <v>12</v>
          </cell>
        </row>
        <row r="1075">
          <cell r="B1075">
            <v>39424</v>
          </cell>
          <cell r="C1075">
            <v>12</v>
          </cell>
        </row>
        <row r="1076">
          <cell r="B1076">
            <v>39425</v>
          </cell>
          <cell r="C1076">
            <v>12</v>
          </cell>
        </row>
        <row r="1077">
          <cell r="B1077">
            <v>39426</v>
          </cell>
          <cell r="C1077">
            <v>12</v>
          </cell>
        </row>
        <row r="1078">
          <cell r="B1078">
            <v>39427</v>
          </cell>
          <cell r="C1078">
            <v>12</v>
          </cell>
        </row>
        <row r="1079">
          <cell r="B1079">
            <v>39428</v>
          </cell>
          <cell r="C1079">
            <v>12</v>
          </cell>
        </row>
        <row r="1080">
          <cell r="B1080">
            <v>39429</v>
          </cell>
          <cell r="C1080">
            <v>12</v>
          </cell>
        </row>
        <row r="1081">
          <cell r="B1081">
            <v>39430</v>
          </cell>
          <cell r="C1081">
            <v>12</v>
          </cell>
        </row>
        <row r="1082">
          <cell r="B1082">
            <v>39431</v>
          </cell>
          <cell r="C1082">
            <v>12</v>
          </cell>
        </row>
        <row r="1083">
          <cell r="B1083">
            <v>39432</v>
          </cell>
          <cell r="C1083">
            <v>12</v>
          </cell>
        </row>
        <row r="1084">
          <cell r="B1084">
            <v>39433</v>
          </cell>
          <cell r="C1084">
            <v>12</v>
          </cell>
        </row>
        <row r="1085">
          <cell r="B1085">
            <v>39434</v>
          </cell>
          <cell r="C1085">
            <v>12</v>
          </cell>
        </row>
        <row r="1086">
          <cell r="B1086">
            <v>39435</v>
          </cell>
          <cell r="C1086">
            <v>12</v>
          </cell>
        </row>
        <row r="1087">
          <cell r="B1087">
            <v>39436</v>
          </cell>
          <cell r="C1087">
            <v>12</v>
          </cell>
        </row>
        <row r="1088">
          <cell r="B1088">
            <v>39437</v>
          </cell>
          <cell r="C1088">
            <v>12</v>
          </cell>
        </row>
        <row r="1089">
          <cell r="B1089">
            <v>39438</v>
          </cell>
          <cell r="C1089">
            <v>12</v>
          </cell>
        </row>
        <row r="1090">
          <cell r="B1090">
            <v>39439</v>
          </cell>
          <cell r="C1090">
            <v>12</v>
          </cell>
        </row>
        <row r="1091">
          <cell r="B1091">
            <v>39440</v>
          </cell>
          <cell r="C1091">
            <v>12</v>
          </cell>
        </row>
        <row r="1092">
          <cell r="B1092">
            <v>39441</v>
          </cell>
          <cell r="C1092">
            <v>12</v>
          </cell>
        </row>
        <row r="1093">
          <cell r="B1093">
            <v>39442</v>
          </cell>
          <cell r="C1093">
            <v>12</v>
          </cell>
        </row>
        <row r="1094">
          <cell r="B1094">
            <v>39443</v>
          </cell>
          <cell r="C1094">
            <v>12</v>
          </cell>
        </row>
        <row r="1095">
          <cell r="B1095">
            <v>39444</v>
          </cell>
          <cell r="C1095">
            <v>12</v>
          </cell>
        </row>
        <row r="1096">
          <cell r="B1096">
            <v>39445</v>
          </cell>
          <cell r="C1096">
            <v>12</v>
          </cell>
        </row>
        <row r="1097">
          <cell r="B1097">
            <v>39446</v>
          </cell>
          <cell r="C1097">
            <v>12</v>
          </cell>
        </row>
        <row r="1098">
          <cell r="B1098">
            <v>39447</v>
          </cell>
          <cell r="C1098">
            <v>12</v>
          </cell>
        </row>
        <row r="1099">
          <cell r="B1099">
            <v>39448</v>
          </cell>
          <cell r="C1099">
            <v>1</v>
          </cell>
        </row>
        <row r="1100">
          <cell r="B1100">
            <v>39449</v>
          </cell>
          <cell r="C1100">
            <v>1</v>
          </cell>
        </row>
        <row r="1101">
          <cell r="B1101">
            <v>39450</v>
          </cell>
          <cell r="C1101">
            <v>1</v>
          </cell>
        </row>
        <row r="1102">
          <cell r="B1102">
            <v>39451</v>
          </cell>
          <cell r="C1102">
            <v>1</v>
          </cell>
        </row>
        <row r="1103">
          <cell r="B1103">
            <v>39452</v>
          </cell>
          <cell r="C1103">
            <v>1</v>
          </cell>
        </row>
        <row r="1104">
          <cell r="B1104">
            <v>39453</v>
          </cell>
          <cell r="C1104">
            <v>1</v>
          </cell>
        </row>
        <row r="1105">
          <cell r="B1105">
            <v>39454</v>
          </cell>
          <cell r="C1105">
            <v>1</v>
          </cell>
        </row>
        <row r="1106">
          <cell r="B1106">
            <v>39455</v>
          </cell>
          <cell r="C1106">
            <v>1</v>
          </cell>
        </row>
        <row r="1107">
          <cell r="B1107">
            <v>39456</v>
          </cell>
          <cell r="C1107">
            <v>1</v>
          </cell>
        </row>
        <row r="1108">
          <cell r="B1108">
            <v>39457</v>
          </cell>
          <cell r="C1108">
            <v>1</v>
          </cell>
        </row>
        <row r="1109">
          <cell r="B1109">
            <v>39458</v>
          </cell>
          <cell r="C1109">
            <v>1</v>
          </cell>
        </row>
        <row r="1110">
          <cell r="B1110">
            <v>39459</v>
          </cell>
          <cell r="C1110">
            <v>1</v>
          </cell>
        </row>
        <row r="1111">
          <cell r="B1111">
            <v>39460</v>
          </cell>
          <cell r="C1111">
            <v>1</v>
          </cell>
        </row>
        <row r="1112">
          <cell r="B1112">
            <v>39461</v>
          </cell>
          <cell r="C1112">
            <v>1</v>
          </cell>
        </row>
        <row r="1113">
          <cell r="B1113">
            <v>39462</v>
          </cell>
          <cell r="C1113">
            <v>1</v>
          </cell>
        </row>
        <row r="1114">
          <cell r="B1114">
            <v>39463</v>
          </cell>
          <cell r="C1114">
            <v>1</v>
          </cell>
        </row>
        <row r="1115">
          <cell r="B1115">
            <v>39464</v>
          </cell>
          <cell r="C1115">
            <v>1</v>
          </cell>
        </row>
        <row r="1116">
          <cell r="B1116">
            <v>39465</v>
          </cell>
          <cell r="C1116">
            <v>1</v>
          </cell>
        </row>
        <row r="1117">
          <cell r="B1117">
            <v>39466</v>
          </cell>
          <cell r="C1117">
            <v>1</v>
          </cell>
        </row>
        <row r="1118">
          <cell r="B1118">
            <v>39467</v>
          </cell>
          <cell r="C1118">
            <v>1</v>
          </cell>
        </row>
        <row r="1119">
          <cell r="B1119">
            <v>39468</v>
          </cell>
          <cell r="C1119">
            <v>1</v>
          </cell>
        </row>
        <row r="1120">
          <cell r="B1120">
            <v>39469</v>
          </cell>
          <cell r="C1120">
            <v>1</v>
          </cell>
        </row>
        <row r="1121">
          <cell r="B1121">
            <v>39470</v>
          </cell>
          <cell r="C1121">
            <v>1</v>
          </cell>
        </row>
        <row r="1122">
          <cell r="B1122">
            <v>39471</v>
          </cell>
          <cell r="C1122">
            <v>1</v>
          </cell>
        </row>
        <row r="1123">
          <cell r="B1123">
            <v>39472</v>
          </cell>
          <cell r="C1123">
            <v>1</v>
          </cell>
        </row>
        <row r="1124">
          <cell r="B1124">
            <v>39473</v>
          </cell>
          <cell r="C1124">
            <v>1</v>
          </cell>
        </row>
        <row r="1125">
          <cell r="B1125">
            <v>39474</v>
          </cell>
          <cell r="C1125">
            <v>1</v>
          </cell>
        </row>
        <row r="1126">
          <cell r="B1126">
            <v>39475</v>
          </cell>
          <cell r="C1126">
            <v>1</v>
          </cell>
        </row>
        <row r="1127">
          <cell r="B1127">
            <v>39476</v>
          </cell>
          <cell r="C1127">
            <v>1</v>
          </cell>
        </row>
        <row r="1128">
          <cell r="B1128">
            <v>39477</v>
          </cell>
          <cell r="C1128">
            <v>1</v>
          </cell>
        </row>
        <row r="1129">
          <cell r="B1129">
            <v>39478</v>
          </cell>
          <cell r="C1129">
            <v>1</v>
          </cell>
        </row>
        <row r="1130">
          <cell r="B1130">
            <v>39479</v>
          </cell>
          <cell r="C1130">
            <v>2</v>
          </cell>
        </row>
        <row r="1131">
          <cell r="B1131">
            <v>39480</v>
          </cell>
          <cell r="C1131">
            <v>2</v>
          </cell>
        </row>
        <row r="1132">
          <cell r="B1132">
            <v>39481</v>
          </cell>
          <cell r="C1132">
            <v>2</v>
          </cell>
        </row>
        <row r="1133">
          <cell r="B1133">
            <v>39482</v>
          </cell>
          <cell r="C1133">
            <v>2</v>
          </cell>
        </row>
        <row r="1134">
          <cell r="B1134">
            <v>39483</v>
          </cell>
          <cell r="C1134">
            <v>2</v>
          </cell>
        </row>
        <row r="1135">
          <cell r="B1135">
            <v>39484</v>
          </cell>
          <cell r="C1135">
            <v>2</v>
          </cell>
        </row>
        <row r="1136">
          <cell r="B1136">
            <v>39485</v>
          </cell>
          <cell r="C1136">
            <v>2</v>
          </cell>
        </row>
        <row r="1137">
          <cell r="B1137">
            <v>39486</v>
          </cell>
          <cell r="C1137">
            <v>2</v>
          </cell>
        </row>
        <row r="1138">
          <cell r="B1138">
            <v>39487</v>
          </cell>
          <cell r="C1138">
            <v>2</v>
          </cell>
        </row>
        <row r="1139">
          <cell r="B1139">
            <v>39488</v>
          </cell>
          <cell r="C1139">
            <v>2</v>
          </cell>
        </row>
        <row r="1140">
          <cell r="B1140">
            <v>39489</v>
          </cell>
          <cell r="C1140">
            <v>2</v>
          </cell>
        </row>
        <row r="1141">
          <cell r="B1141">
            <v>39490</v>
          </cell>
          <cell r="C1141">
            <v>2</v>
          </cell>
        </row>
        <row r="1142">
          <cell r="B1142">
            <v>39491</v>
          </cell>
          <cell r="C1142">
            <v>2</v>
          </cell>
        </row>
        <row r="1143">
          <cell r="B1143">
            <v>39492</v>
          </cell>
          <cell r="C1143">
            <v>2</v>
          </cell>
        </row>
        <row r="1144">
          <cell r="B1144">
            <v>39493</v>
          </cell>
          <cell r="C1144">
            <v>2</v>
          </cell>
        </row>
        <row r="1145">
          <cell r="B1145">
            <v>39494</v>
          </cell>
          <cell r="C1145">
            <v>2</v>
          </cell>
        </row>
        <row r="1146">
          <cell r="B1146">
            <v>39495</v>
          </cell>
          <cell r="C1146">
            <v>2</v>
          </cell>
        </row>
        <row r="1147">
          <cell r="B1147">
            <v>39496</v>
          </cell>
          <cell r="C1147">
            <v>2</v>
          </cell>
        </row>
        <row r="1148">
          <cell r="B1148">
            <v>39497</v>
          </cell>
          <cell r="C1148">
            <v>2</v>
          </cell>
        </row>
        <row r="1149">
          <cell r="B1149">
            <v>39498</v>
          </cell>
          <cell r="C1149">
            <v>2</v>
          </cell>
        </row>
        <row r="1150">
          <cell r="B1150">
            <v>39499</v>
          </cell>
          <cell r="C1150">
            <v>2</v>
          </cell>
        </row>
        <row r="1151">
          <cell r="B1151">
            <v>39500</v>
          </cell>
          <cell r="C1151">
            <v>2</v>
          </cell>
        </row>
        <row r="1152">
          <cell r="B1152">
            <v>39501</v>
          </cell>
          <cell r="C1152">
            <v>2</v>
          </cell>
        </row>
        <row r="1153">
          <cell r="B1153">
            <v>39502</v>
          </cell>
          <cell r="C1153">
            <v>2</v>
          </cell>
        </row>
        <row r="1154">
          <cell r="B1154">
            <v>39503</v>
          </cell>
          <cell r="C1154">
            <v>2</v>
          </cell>
        </row>
        <row r="1155">
          <cell r="B1155">
            <v>39504</v>
          </cell>
          <cell r="C1155">
            <v>2</v>
          </cell>
        </row>
        <row r="1156">
          <cell r="B1156">
            <v>39505</v>
          </cell>
          <cell r="C1156">
            <v>2</v>
          </cell>
        </row>
        <row r="1157">
          <cell r="B1157">
            <v>39506</v>
          </cell>
          <cell r="C1157">
            <v>2</v>
          </cell>
        </row>
        <row r="1158">
          <cell r="B1158">
            <v>39507</v>
          </cell>
          <cell r="C1158">
            <v>2</v>
          </cell>
        </row>
        <row r="1159">
          <cell r="B1159">
            <v>39508</v>
          </cell>
          <cell r="C1159">
            <v>3</v>
          </cell>
        </row>
        <row r="1160">
          <cell r="B1160">
            <v>39509</v>
          </cell>
          <cell r="C1160">
            <v>3</v>
          </cell>
        </row>
        <row r="1161">
          <cell r="B1161">
            <v>39510</v>
          </cell>
          <cell r="C1161">
            <v>3</v>
          </cell>
        </row>
        <row r="1162">
          <cell r="B1162">
            <v>39511</v>
          </cell>
          <cell r="C1162">
            <v>3</v>
          </cell>
        </row>
        <row r="1163">
          <cell r="B1163">
            <v>39512</v>
          </cell>
          <cell r="C1163">
            <v>3</v>
          </cell>
        </row>
        <row r="1164">
          <cell r="B1164">
            <v>39513</v>
          </cell>
          <cell r="C1164">
            <v>3</v>
          </cell>
        </row>
        <row r="1165">
          <cell r="B1165">
            <v>39514</v>
          </cell>
          <cell r="C1165">
            <v>3</v>
          </cell>
        </row>
        <row r="1166">
          <cell r="B1166">
            <v>39515</v>
          </cell>
          <cell r="C1166">
            <v>3</v>
          </cell>
        </row>
        <row r="1167">
          <cell r="B1167">
            <v>39516</v>
          </cell>
          <cell r="C1167">
            <v>3</v>
          </cell>
        </row>
        <row r="1168">
          <cell r="B1168">
            <v>39517</v>
          </cell>
          <cell r="C1168">
            <v>3</v>
          </cell>
        </row>
        <row r="1169">
          <cell r="B1169">
            <v>39518</v>
          </cell>
          <cell r="C1169">
            <v>3</v>
          </cell>
        </row>
        <row r="1170">
          <cell r="B1170">
            <v>39519</v>
          </cell>
          <cell r="C1170">
            <v>3</v>
          </cell>
        </row>
        <row r="1171">
          <cell r="B1171">
            <v>39520</v>
          </cell>
          <cell r="C1171">
            <v>3</v>
          </cell>
        </row>
        <row r="1172">
          <cell r="B1172">
            <v>39521</v>
          </cell>
          <cell r="C1172">
            <v>3</v>
          </cell>
        </row>
        <row r="1173">
          <cell r="B1173">
            <v>39522</v>
          </cell>
          <cell r="C1173">
            <v>3</v>
          </cell>
        </row>
        <row r="1174">
          <cell r="B1174">
            <v>39523</v>
          </cell>
          <cell r="C1174">
            <v>3</v>
          </cell>
        </row>
        <row r="1175">
          <cell r="B1175">
            <v>39524</v>
          </cell>
          <cell r="C1175">
            <v>3</v>
          </cell>
        </row>
        <row r="1176">
          <cell r="B1176">
            <v>39525</v>
          </cell>
          <cell r="C1176">
            <v>3</v>
          </cell>
        </row>
        <row r="1177">
          <cell r="B1177">
            <v>39526</v>
          </cell>
          <cell r="C1177">
            <v>3</v>
          </cell>
        </row>
        <row r="1178">
          <cell r="B1178">
            <v>39527</v>
          </cell>
          <cell r="C1178">
            <v>3</v>
          </cell>
        </row>
        <row r="1179">
          <cell r="B1179">
            <v>39528</v>
          </cell>
          <cell r="C1179">
            <v>3</v>
          </cell>
        </row>
        <row r="1180">
          <cell r="B1180">
            <v>39529</v>
          </cell>
          <cell r="C1180">
            <v>3</v>
          </cell>
        </row>
        <row r="1181">
          <cell r="B1181">
            <v>39530</v>
          </cell>
          <cell r="C1181">
            <v>3</v>
          </cell>
        </row>
        <row r="1182">
          <cell r="B1182">
            <v>39531</v>
          </cell>
          <cell r="C1182">
            <v>3</v>
          </cell>
        </row>
        <row r="1183">
          <cell r="B1183">
            <v>39532</v>
          </cell>
          <cell r="C1183">
            <v>3</v>
          </cell>
        </row>
        <row r="1184">
          <cell r="B1184">
            <v>39533</v>
          </cell>
          <cell r="C1184">
            <v>3</v>
          </cell>
        </row>
        <row r="1185">
          <cell r="B1185">
            <v>39534</v>
          </cell>
          <cell r="C1185">
            <v>3</v>
          </cell>
        </row>
        <row r="1186">
          <cell r="B1186">
            <v>39535</v>
          </cell>
          <cell r="C1186">
            <v>3</v>
          </cell>
        </row>
        <row r="1187">
          <cell r="B1187">
            <v>39536</v>
          </cell>
          <cell r="C1187">
            <v>3</v>
          </cell>
        </row>
        <row r="1188">
          <cell r="B1188">
            <v>39537</v>
          </cell>
          <cell r="C1188">
            <v>3</v>
          </cell>
        </row>
        <row r="1189">
          <cell r="B1189">
            <v>39538</v>
          </cell>
          <cell r="C1189">
            <v>3</v>
          </cell>
        </row>
        <row r="1190">
          <cell r="B1190">
            <v>39539</v>
          </cell>
          <cell r="C1190">
            <v>4</v>
          </cell>
        </row>
        <row r="1191">
          <cell r="B1191">
            <v>39540</v>
          </cell>
          <cell r="C1191">
            <v>4</v>
          </cell>
        </row>
        <row r="1192">
          <cell r="B1192">
            <v>39541</v>
          </cell>
          <cell r="C1192">
            <v>4</v>
          </cell>
        </row>
        <row r="1193">
          <cell r="B1193">
            <v>39542</v>
          </cell>
          <cell r="C1193">
            <v>4</v>
          </cell>
        </row>
        <row r="1194">
          <cell r="B1194">
            <v>39543</v>
          </cell>
          <cell r="C1194">
            <v>4</v>
          </cell>
        </row>
        <row r="1195">
          <cell r="B1195">
            <v>39544</v>
          </cell>
          <cell r="C1195">
            <v>4</v>
          </cell>
        </row>
        <row r="1196">
          <cell r="B1196">
            <v>39545</v>
          </cell>
          <cell r="C1196">
            <v>4</v>
          </cell>
        </row>
        <row r="1197">
          <cell r="B1197">
            <v>39546</v>
          </cell>
          <cell r="C1197">
            <v>4</v>
          </cell>
        </row>
        <row r="1198">
          <cell r="B1198">
            <v>39547</v>
          </cell>
          <cell r="C1198">
            <v>4</v>
          </cell>
        </row>
        <row r="1199">
          <cell r="B1199">
            <v>39548</v>
          </cell>
          <cell r="C1199">
            <v>4</v>
          </cell>
        </row>
        <row r="1200">
          <cell r="B1200">
            <v>39549</v>
          </cell>
          <cell r="C1200">
            <v>4</v>
          </cell>
        </row>
        <row r="1201">
          <cell r="B1201">
            <v>39550</v>
          </cell>
          <cell r="C1201">
            <v>4</v>
          </cell>
        </row>
        <row r="1202">
          <cell r="B1202">
            <v>39551</v>
          </cell>
          <cell r="C1202">
            <v>4</v>
          </cell>
        </row>
        <row r="1203">
          <cell r="B1203">
            <v>39552</v>
          </cell>
          <cell r="C1203">
            <v>4</v>
          </cell>
        </row>
        <row r="1204">
          <cell r="B1204">
            <v>39553</v>
          </cell>
          <cell r="C1204">
            <v>4</v>
          </cell>
        </row>
        <row r="1205">
          <cell r="B1205">
            <v>39554</v>
          </cell>
          <cell r="C1205">
            <v>4</v>
          </cell>
        </row>
        <row r="1206">
          <cell r="B1206">
            <v>39555</v>
          </cell>
          <cell r="C1206">
            <v>4</v>
          </cell>
        </row>
        <row r="1207">
          <cell r="B1207">
            <v>39556</v>
          </cell>
          <cell r="C1207">
            <v>4</v>
          </cell>
        </row>
        <row r="1208">
          <cell r="B1208">
            <v>39557</v>
          </cell>
          <cell r="C1208">
            <v>4</v>
          </cell>
        </row>
        <row r="1209">
          <cell r="B1209">
            <v>39558</v>
          </cell>
          <cell r="C1209">
            <v>4</v>
          </cell>
        </row>
        <row r="1210">
          <cell r="B1210">
            <v>39559</v>
          </cell>
          <cell r="C1210">
            <v>4</v>
          </cell>
        </row>
        <row r="1211">
          <cell r="B1211">
            <v>39560</v>
          </cell>
          <cell r="C1211">
            <v>4</v>
          </cell>
        </row>
        <row r="1212">
          <cell r="B1212">
            <v>39561</v>
          </cell>
          <cell r="C1212">
            <v>4</v>
          </cell>
        </row>
        <row r="1213">
          <cell r="B1213">
            <v>39562</v>
          </cell>
          <cell r="C1213">
            <v>4</v>
          </cell>
        </row>
        <row r="1214">
          <cell r="B1214">
            <v>39563</v>
          </cell>
          <cell r="C1214">
            <v>4</v>
          </cell>
        </row>
        <row r="1215">
          <cell r="B1215">
            <v>39564</v>
          </cell>
          <cell r="C1215">
            <v>4</v>
          </cell>
        </row>
        <row r="1216">
          <cell r="B1216">
            <v>39565</v>
          </cell>
          <cell r="C1216">
            <v>4</v>
          </cell>
        </row>
        <row r="1217">
          <cell r="B1217">
            <v>39566</v>
          </cell>
          <cell r="C1217">
            <v>4</v>
          </cell>
        </row>
        <row r="1218">
          <cell r="B1218">
            <v>39567</v>
          </cell>
          <cell r="C1218">
            <v>4</v>
          </cell>
        </row>
        <row r="1219">
          <cell r="B1219">
            <v>39568</v>
          </cell>
          <cell r="C1219">
            <v>4</v>
          </cell>
        </row>
        <row r="1220">
          <cell r="B1220">
            <v>39569</v>
          </cell>
          <cell r="C1220">
            <v>5</v>
          </cell>
        </row>
        <row r="1221">
          <cell r="B1221">
            <v>39570</v>
          </cell>
          <cell r="C1221">
            <v>5</v>
          </cell>
        </row>
        <row r="1222">
          <cell r="B1222">
            <v>39571</v>
          </cell>
          <cell r="C1222">
            <v>5</v>
          </cell>
        </row>
        <row r="1223">
          <cell r="B1223">
            <v>39572</v>
          </cell>
          <cell r="C1223">
            <v>5</v>
          </cell>
        </row>
        <row r="1224">
          <cell r="B1224">
            <v>39573</v>
          </cell>
          <cell r="C1224">
            <v>5</v>
          </cell>
        </row>
        <row r="1225">
          <cell r="B1225">
            <v>39574</v>
          </cell>
          <cell r="C1225">
            <v>5</v>
          </cell>
        </row>
        <row r="1226">
          <cell r="B1226">
            <v>39575</v>
          </cell>
          <cell r="C1226">
            <v>5</v>
          </cell>
        </row>
        <row r="1227">
          <cell r="B1227">
            <v>39576</v>
          </cell>
          <cell r="C1227">
            <v>5</v>
          </cell>
        </row>
        <row r="1228">
          <cell r="B1228">
            <v>39577</v>
          </cell>
          <cell r="C1228">
            <v>5</v>
          </cell>
        </row>
        <row r="1229">
          <cell r="B1229">
            <v>39578</v>
          </cell>
          <cell r="C1229">
            <v>5</v>
          </cell>
        </row>
        <row r="1230">
          <cell r="B1230">
            <v>39579</v>
          </cell>
          <cell r="C1230">
            <v>5</v>
          </cell>
        </row>
        <row r="1231">
          <cell r="B1231">
            <v>39580</v>
          </cell>
          <cell r="C1231">
            <v>5</v>
          </cell>
        </row>
        <row r="1232">
          <cell r="B1232">
            <v>39581</v>
          </cell>
          <cell r="C1232">
            <v>5</v>
          </cell>
        </row>
        <row r="1233">
          <cell r="B1233">
            <v>39582</v>
          </cell>
          <cell r="C1233">
            <v>5</v>
          </cell>
        </row>
        <row r="1234">
          <cell r="B1234">
            <v>39583</v>
          </cell>
          <cell r="C1234">
            <v>5</v>
          </cell>
        </row>
        <row r="1235">
          <cell r="B1235">
            <v>39584</v>
          </cell>
          <cell r="C1235">
            <v>5</v>
          </cell>
        </row>
        <row r="1236">
          <cell r="B1236">
            <v>39585</v>
          </cell>
          <cell r="C1236">
            <v>5</v>
          </cell>
        </row>
        <row r="1237">
          <cell r="B1237">
            <v>39586</v>
          </cell>
          <cell r="C1237">
            <v>5</v>
          </cell>
        </row>
        <row r="1238">
          <cell r="B1238">
            <v>39587</v>
          </cell>
          <cell r="C1238">
            <v>5</v>
          </cell>
        </row>
        <row r="1239">
          <cell r="B1239">
            <v>39588</v>
          </cell>
          <cell r="C1239">
            <v>5</v>
          </cell>
        </row>
        <row r="1240">
          <cell r="B1240">
            <v>39589</v>
          </cell>
          <cell r="C1240">
            <v>5</v>
          </cell>
        </row>
        <row r="1241">
          <cell r="B1241">
            <v>39590</v>
          </cell>
          <cell r="C1241">
            <v>5</v>
          </cell>
        </row>
        <row r="1242">
          <cell r="B1242">
            <v>39591</v>
          </cell>
          <cell r="C1242">
            <v>5</v>
          </cell>
        </row>
        <row r="1243">
          <cell r="B1243">
            <v>39592</v>
          </cell>
          <cell r="C1243">
            <v>5</v>
          </cell>
        </row>
        <row r="1244">
          <cell r="B1244">
            <v>39593</v>
          </cell>
          <cell r="C1244">
            <v>5</v>
          </cell>
        </row>
        <row r="1245">
          <cell r="B1245">
            <v>39594</v>
          </cell>
          <cell r="C1245">
            <v>5</v>
          </cell>
        </row>
        <row r="1246">
          <cell r="B1246">
            <v>39595</v>
          </cell>
          <cell r="C1246">
            <v>5</v>
          </cell>
        </row>
        <row r="1247">
          <cell r="B1247">
            <v>39596</v>
          </cell>
          <cell r="C1247">
            <v>5</v>
          </cell>
        </row>
        <row r="1248">
          <cell r="B1248">
            <v>39597</v>
          </cell>
          <cell r="C1248">
            <v>5</v>
          </cell>
        </row>
        <row r="1249">
          <cell r="B1249">
            <v>39598</v>
          </cell>
          <cell r="C1249">
            <v>5</v>
          </cell>
        </row>
        <row r="1250">
          <cell r="B1250">
            <v>39599</v>
          </cell>
          <cell r="C1250">
            <v>5</v>
          </cell>
        </row>
        <row r="1251">
          <cell r="B1251">
            <v>39600</v>
          </cell>
          <cell r="C1251">
            <v>6</v>
          </cell>
        </row>
        <row r="1252">
          <cell r="B1252">
            <v>39601</v>
          </cell>
          <cell r="C1252">
            <v>6</v>
          </cell>
        </row>
        <row r="1253">
          <cell r="B1253">
            <v>39602</v>
          </cell>
          <cell r="C1253">
            <v>6</v>
          </cell>
        </row>
        <row r="1254">
          <cell r="B1254">
            <v>39603</v>
          </cell>
          <cell r="C1254">
            <v>6</v>
          </cell>
        </row>
        <row r="1255">
          <cell r="B1255">
            <v>39604</v>
          </cell>
          <cell r="C1255">
            <v>6</v>
          </cell>
        </row>
        <row r="1256">
          <cell r="B1256">
            <v>39605</v>
          </cell>
          <cell r="C1256">
            <v>6</v>
          </cell>
        </row>
        <row r="1257">
          <cell r="B1257">
            <v>39606</v>
          </cell>
          <cell r="C1257">
            <v>6</v>
          </cell>
        </row>
        <row r="1258">
          <cell r="B1258">
            <v>39607</v>
          </cell>
          <cell r="C1258">
            <v>6</v>
          </cell>
        </row>
        <row r="1259">
          <cell r="B1259">
            <v>39608</v>
          </cell>
          <cell r="C1259">
            <v>6</v>
          </cell>
        </row>
        <row r="1260">
          <cell r="B1260">
            <v>39609</v>
          </cell>
          <cell r="C1260">
            <v>6</v>
          </cell>
        </row>
        <row r="1261">
          <cell r="B1261">
            <v>39610</v>
          </cell>
          <cell r="C1261">
            <v>6</v>
          </cell>
        </row>
        <row r="1262">
          <cell r="B1262">
            <v>39611</v>
          </cell>
          <cell r="C1262">
            <v>6</v>
          </cell>
        </row>
        <row r="1263">
          <cell r="B1263">
            <v>39612</v>
          </cell>
          <cell r="C1263">
            <v>6</v>
          </cell>
        </row>
        <row r="1264">
          <cell r="B1264">
            <v>39613</v>
          </cell>
          <cell r="C1264">
            <v>6</v>
          </cell>
        </row>
        <row r="1265">
          <cell r="B1265">
            <v>39614</v>
          </cell>
          <cell r="C1265">
            <v>6</v>
          </cell>
        </row>
        <row r="1266">
          <cell r="B1266">
            <v>39615</v>
          </cell>
          <cell r="C1266">
            <v>6</v>
          </cell>
        </row>
        <row r="1267">
          <cell r="B1267">
            <v>39616</v>
          </cell>
          <cell r="C1267">
            <v>6</v>
          </cell>
        </row>
        <row r="1268">
          <cell r="B1268">
            <v>39617</v>
          </cell>
          <cell r="C1268">
            <v>6</v>
          </cell>
        </row>
        <row r="1269">
          <cell r="B1269">
            <v>39618</v>
          </cell>
          <cell r="C1269">
            <v>6</v>
          </cell>
        </row>
        <row r="1270">
          <cell r="B1270">
            <v>39619</v>
          </cell>
          <cell r="C1270">
            <v>6</v>
          </cell>
        </row>
        <row r="1271">
          <cell r="B1271">
            <v>39620</v>
          </cell>
          <cell r="C1271">
            <v>6</v>
          </cell>
        </row>
        <row r="1272">
          <cell r="B1272">
            <v>39621</v>
          </cell>
          <cell r="C1272">
            <v>6</v>
          </cell>
        </row>
        <row r="1273">
          <cell r="B1273">
            <v>39622</v>
          </cell>
          <cell r="C1273">
            <v>6</v>
          </cell>
        </row>
        <row r="1274">
          <cell r="B1274">
            <v>39623</v>
          </cell>
          <cell r="C1274">
            <v>6</v>
          </cell>
        </row>
        <row r="1275">
          <cell r="B1275">
            <v>39624</v>
          </cell>
          <cell r="C1275">
            <v>6</v>
          </cell>
        </row>
        <row r="1276">
          <cell r="B1276">
            <v>39625</v>
          </cell>
          <cell r="C1276">
            <v>6</v>
          </cell>
        </row>
        <row r="1277">
          <cell r="B1277">
            <v>39626</v>
          </cell>
          <cell r="C1277">
            <v>6</v>
          </cell>
        </row>
        <row r="1278">
          <cell r="B1278">
            <v>39627</v>
          </cell>
          <cell r="C1278">
            <v>6</v>
          </cell>
        </row>
        <row r="1279">
          <cell r="B1279">
            <v>39628</v>
          </cell>
          <cell r="C1279">
            <v>6</v>
          </cell>
        </row>
        <row r="1280">
          <cell r="B1280">
            <v>39629</v>
          </cell>
          <cell r="C1280">
            <v>6</v>
          </cell>
        </row>
        <row r="1281">
          <cell r="B1281">
            <v>39630</v>
          </cell>
          <cell r="C1281">
            <v>7</v>
          </cell>
        </row>
        <row r="1282">
          <cell r="B1282">
            <v>39631</v>
          </cell>
          <cell r="C1282">
            <v>7</v>
          </cell>
        </row>
        <row r="1283">
          <cell r="B1283">
            <v>39632</v>
          </cell>
          <cell r="C1283">
            <v>7</v>
          </cell>
        </row>
        <row r="1284">
          <cell r="B1284">
            <v>39633</v>
          </cell>
          <cell r="C1284">
            <v>7</v>
          </cell>
        </row>
        <row r="1285">
          <cell r="B1285">
            <v>39634</v>
          </cell>
          <cell r="C1285">
            <v>7</v>
          </cell>
        </row>
        <row r="1286">
          <cell r="B1286">
            <v>39635</v>
          </cell>
          <cell r="C1286">
            <v>7</v>
          </cell>
        </row>
        <row r="1287">
          <cell r="B1287">
            <v>39636</v>
          </cell>
          <cell r="C1287">
            <v>7</v>
          </cell>
        </row>
        <row r="1288">
          <cell r="B1288">
            <v>39637</v>
          </cell>
          <cell r="C1288">
            <v>7</v>
          </cell>
        </row>
        <row r="1289">
          <cell r="B1289">
            <v>39638</v>
          </cell>
          <cell r="C1289">
            <v>7</v>
          </cell>
        </row>
        <row r="1290">
          <cell r="B1290">
            <v>39639</v>
          </cell>
          <cell r="C1290">
            <v>7</v>
          </cell>
        </row>
        <row r="1291">
          <cell r="B1291">
            <v>39640</v>
          </cell>
          <cell r="C1291">
            <v>7</v>
          </cell>
        </row>
        <row r="1292">
          <cell r="B1292">
            <v>39641</v>
          </cell>
          <cell r="C1292">
            <v>7</v>
          </cell>
        </row>
        <row r="1293">
          <cell r="B1293">
            <v>39642</v>
          </cell>
          <cell r="C1293">
            <v>7</v>
          </cell>
        </row>
        <row r="1294">
          <cell r="B1294">
            <v>39643</v>
          </cell>
          <cell r="C1294">
            <v>7</v>
          </cell>
        </row>
        <row r="1295">
          <cell r="B1295">
            <v>39644</v>
          </cell>
          <cell r="C1295">
            <v>7</v>
          </cell>
        </row>
        <row r="1296">
          <cell r="B1296">
            <v>39645</v>
          </cell>
          <cell r="C1296">
            <v>7</v>
          </cell>
        </row>
        <row r="1297">
          <cell r="B1297">
            <v>39646</v>
          </cell>
          <cell r="C1297">
            <v>7</v>
          </cell>
        </row>
        <row r="1298">
          <cell r="B1298">
            <v>39647</v>
          </cell>
          <cell r="C1298">
            <v>7</v>
          </cell>
        </row>
        <row r="1299">
          <cell r="B1299">
            <v>39648</v>
          </cell>
          <cell r="C1299">
            <v>7</v>
          </cell>
        </row>
        <row r="1300">
          <cell r="B1300">
            <v>39649</v>
          </cell>
          <cell r="C1300">
            <v>7</v>
          </cell>
        </row>
        <row r="1301">
          <cell r="B1301">
            <v>39650</v>
          </cell>
          <cell r="C1301">
            <v>7</v>
          </cell>
        </row>
        <row r="1302">
          <cell r="B1302">
            <v>39651</v>
          </cell>
          <cell r="C1302">
            <v>7</v>
          </cell>
        </row>
        <row r="1303">
          <cell r="B1303">
            <v>39652</v>
          </cell>
          <cell r="C1303">
            <v>7</v>
          </cell>
        </row>
        <row r="1304">
          <cell r="B1304">
            <v>39653</v>
          </cell>
          <cell r="C1304">
            <v>7</v>
          </cell>
        </row>
        <row r="1305">
          <cell r="B1305">
            <v>39654</v>
          </cell>
          <cell r="C1305">
            <v>7</v>
          </cell>
        </row>
        <row r="1306">
          <cell r="B1306">
            <v>39655</v>
          </cell>
          <cell r="C1306">
            <v>7</v>
          </cell>
        </row>
        <row r="1307">
          <cell r="B1307">
            <v>39656</v>
          </cell>
          <cell r="C1307">
            <v>7</v>
          </cell>
        </row>
        <row r="1308">
          <cell r="B1308">
            <v>39657</v>
          </cell>
          <cell r="C1308">
            <v>7</v>
          </cell>
        </row>
        <row r="1309">
          <cell r="B1309">
            <v>39658</v>
          </cell>
          <cell r="C1309">
            <v>7</v>
          </cell>
        </row>
        <row r="1310">
          <cell r="B1310">
            <v>39659</v>
          </cell>
          <cell r="C1310">
            <v>7</v>
          </cell>
        </row>
        <row r="1311">
          <cell r="B1311">
            <v>39660</v>
          </cell>
          <cell r="C1311">
            <v>7</v>
          </cell>
        </row>
        <row r="1312">
          <cell r="B1312">
            <v>39661</v>
          </cell>
          <cell r="C1312">
            <v>8</v>
          </cell>
        </row>
        <row r="1313">
          <cell r="B1313">
            <v>39662</v>
          </cell>
          <cell r="C1313">
            <v>8</v>
          </cell>
        </row>
        <row r="1314">
          <cell r="B1314">
            <v>39663</v>
          </cell>
          <cell r="C1314">
            <v>8</v>
          </cell>
        </row>
        <row r="1315">
          <cell r="B1315">
            <v>39664</v>
          </cell>
          <cell r="C1315">
            <v>8</v>
          </cell>
        </row>
        <row r="1316">
          <cell r="B1316">
            <v>39665</v>
          </cell>
          <cell r="C1316">
            <v>8</v>
          </cell>
        </row>
        <row r="1317">
          <cell r="B1317">
            <v>39666</v>
          </cell>
          <cell r="C1317">
            <v>8</v>
          </cell>
        </row>
        <row r="1318">
          <cell r="B1318">
            <v>39667</v>
          </cell>
          <cell r="C1318">
            <v>8</v>
          </cell>
        </row>
        <row r="1319">
          <cell r="B1319">
            <v>39668</v>
          </cell>
          <cell r="C1319">
            <v>8</v>
          </cell>
        </row>
        <row r="1320">
          <cell r="B1320">
            <v>39669</v>
          </cell>
          <cell r="C1320">
            <v>8</v>
          </cell>
        </row>
        <row r="1321">
          <cell r="B1321">
            <v>39670</v>
          </cell>
          <cell r="C1321">
            <v>8</v>
          </cell>
        </row>
        <row r="1322">
          <cell r="B1322">
            <v>39671</v>
          </cell>
          <cell r="C1322">
            <v>8</v>
          </cell>
        </row>
        <row r="1323">
          <cell r="B1323">
            <v>39672</v>
          </cell>
          <cell r="C1323">
            <v>8</v>
          </cell>
        </row>
        <row r="1324">
          <cell r="B1324">
            <v>39673</v>
          </cell>
          <cell r="C1324">
            <v>8</v>
          </cell>
        </row>
        <row r="1325">
          <cell r="B1325">
            <v>39674</v>
          </cell>
          <cell r="C1325">
            <v>8</v>
          </cell>
        </row>
        <row r="1326">
          <cell r="B1326">
            <v>39675</v>
          </cell>
          <cell r="C1326">
            <v>8</v>
          </cell>
        </row>
        <row r="1327">
          <cell r="B1327">
            <v>39676</v>
          </cell>
          <cell r="C1327">
            <v>8</v>
          </cell>
        </row>
        <row r="1328">
          <cell r="B1328">
            <v>39677</v>
          </cell>
          <cell r="C1328">
            <v>8</v>
          </cell>
        </row>
        <row r="1329">
          <cell r="B1329">
            <v>39678</v>
          </cell>
          <cell r="C1329">
            <v>8</v>
          </cell>
        </row>
        <row r="1330">
          <cell r="B1330">
            <v>39679</v>
          </cell>
          <cell r="C1330">
            <v>8</v>
          </cell>
        </row>
        <row r="1331">
          <cell r="B1331">
            <v>39680</v>
          </cell>
          <cell r="C1331">
            <v>8</v>
          </cell>
        </row>
        <row r="1332">
          <cell r="B1332">
            <v>39681</v>
          </cell>
          <cell r="C1332">
            <v>8</v>
          </cell>
        </row>
        <row r="1333">
          <cell r="B1333">
            <v>39682</v>
          </cell>
          <cell r="C1333">
            <v>8</v>
          </cell>
        </row>
        <row r="1334">
          <cell r="B1334">
            <v>39683</v>
          </cell>
          <cell r="C1334">
            <v>8</v>
          </cell>
        </row>
        <row r="1335">
          <cell r="B1335">
            <v>39684</v>
          </cell>
          <cell r="C1335">
            <v>8</v>
          </cell>
        </row>
        <row r="1336">
          <cell r="B1336">
            <v>39685</v>
          </cell>
          <cell r="C1336">
            <v>8</v>
          </cell>
        </row>
        <row r="1337">
          <cell r="B1337">
            <v>39686</v>
          </cell>
          <cell r="C1337">
            <v>8</v>
          </cell>
        </row>
        <row r="1338">
          <cell r="B1338">
            <v>39687</v>
          </cell>
          <cell r="C1338">
            <v>8</v>
          </cell>
        </row>
        <row r="1339">
          <cell r="B1339">
            <v>39688</v>
          </cell>
          <cell r="C1339">
            <v>8</v>
          </cell>
        </row>
        <row r="1340">
          <cell r="B1340">
            <v>39689</v>
          </cell>
          <cell r="C1340">
            <v>8</v>
          </cell>
        </row>
        <row r="1341">
          <cell r="B1341">
            <v>39690</v>
          </cell>
          <cell r="C1341">
            <v>8</v>
          </cell>
        </row>
        <row r="1342">
          <cell r="B1342">
            <v>39691</v>
          </cell>
          <cell r="C1342">
            <v>8</v>
          </cell>
        </row>
        <row r="1343">
          <cell r="B1343">
            <v>39692</v>
          </cell>
          <cell r="C1343">
            <v>9</v>
          </cell>
        </row>
        <row r="1344">
          <cell r="B1344">
            <v>39693</v>
          </cell>
          <cell r="C1344">
            <v>9</v>
          </cell>
        </row>
        <row r="1345">
          <cell r="B1345">
            <v>39694</v>
          </cell>
          <cell r="C1345">
            <v>9</v>
          </cell>
        </row>
        <row r="1346">
          <cell r="B1346">
            <v>39695</v>
          </cell>
          <cell r="C1346">
            <v>9</v>
          </cell>
        </row>
        <row r="1347">
          <cell r="B1347">
            <v>39696</v>
          </cell>
          <cell r="C1347">
            <v>9</v>
          </cell>
        </row>
        <row r="1348">
          <cell r="B1348">
            <v>39697</v>
          </cell>
          <cell r="C1348">
            <v>9</v>
          </cell>
        </row>
        <row r="1349">
          <cell r="B1349">
            <v>39698</v>
          </cell>
          <cell r="C1349">
            <v>9</v>
          </cell>
        </row>
        <row r="1350">
          <cell r="B1350">
            <v>39699</v>
          </cell>
          <cell r="C1350">
            <v>9</v>
          </cell>
        </row>
        <row r="1351">
          <cell r="B1351">
            <v>39700</v>
          </cell>
          <cell r="C1351">
            <v>9</v>
          </cell>
        </row>
        <row r="1352">
          <cell r="B1352">
            <v>39701</v>
          </cell>
          <cell r="C1352">
            <v>9</v>
          </cell>
        </row>
        <row r="1353">
          <cell r="B1353">
            <v>39702</v>
          </cell>
          <cell r="C1353">
            <v>9</v>
          </cell>
        </row>
        <row r="1354">
          <cell r="B1354">
            <v>39703</v>
          </cell>
          <cell r="C1354">
            <v>9</v>
          </cell>
        </row>
        <row r="1355">
          <cell r="B1355">
            <v>39704</v>
          </cell>
          <cell r="C1355">
            <v>9</v>
          </cell>
        </row>
        <row r="1356">
          <cell r="B1356">
            <v>39705</v>
          </cell>
          <cell r="C1356">
            <v>9</v>
          </cell>
        </row>
        <row r="1357">
          <cell r="B1357">
            <v>39706</v>
          </cell>
          <cell r="C1357">
            <v>9</v>
          </cell>
        </row>
        <row r="1358">
          <cell r="B1358">
            <v>39707</v>
          </cell>
          <cell r="C1358">
            <v>9</v>
          </cell>
        </row>
        <row r="1359">
          <cell r="B1359">
            <v>39708</v>
          </cell>
          <cell r="C1359">
            <v>9</v>
          </cell>
        </row>
        <row r="1360">
          <cell r="B1360">
            <v>39709</v>
          </cell>
          <cell r="C1360">
            <v>9</v>
          </cell>
        </row>
        <row r="1361">
          <cell r="B1361">
            <v>39710</v>
          </cell>
          <cell r="C1361">
            <v>9</v>
          </cell>
        </row>
        <row r="1362">
          <cell r="B1362">
            <v>39711</v>
          </cell>
          <cell r="C1362">
            <v>9</v>
          </cell>
        </row>
        <row r="1363">
          <cell r="B1363">
            <v>39712</v>
          </cell>
          <cell r="C1363">
            <v>9</v>
          </cell>
        </row>
        <row r="1364">
          <cell r="B1364">
            <v>39713</v>
          </cell>
          <cell r="C1364">
            <v>9</v>
          </cell>
        </row>
        <row r="1365">
          <cell r="B1365">
            <v>39714</v>
          </cell>
          <cell r="C1365">
            <v>9</v>
          </cell>
        </row>
        <row r="1366">
          <cell r="B1366">
            <v>39715</v>
          </cell>
          <cell r="C1366">
            <v>9</v>
          </cell>
        </row>
        <row r="1367">
          <cell r="B1367">
            <v>39716</v>
          </cell>
          <cell r="C1367">
            <v>9</v>
          </cell>
        </row>
        <row r="1368">
          <cell r="B1368">
            <v>39717</v>
          </cell>
          <cell r="C1368">
            <v>9</v>
          </cell>
        </row>
        <row r="1369">
          <cell r="B1369">
            <v>39718</v>
          </cell>
          <cell r="C1369">
            <v>9</v>
          </cell>
        </row>
        <row r="1370">
          <cell r="B1370">
            <v>39719</v>
          </cell>
          <cell r="C1370">
            <v>9</v>
          </cell>
        </row>
        <row r="1371">
          <cell r="B1371">
            <v>39720</v>
          </cell>
          <cell r="C1371">
            <v>9</v>
          </cell>
        </row>
        <row r="1372">
          <cell r="B1372">
            <v>39721</v>
          </cell>
          <cell r="C1372">
            <v>9</v>
          </cell>
        </row>
        <row r="1373">
          <cell r="B1373">
            <v>39722</v>
          </cell>
          <cell r="C1373">
            <v>10</v>
          </cell>
        </row>
        <row r="1374">
          <cell r="B1374">
            <v>39723</v>
          </cell>
          <cell r="C1374">
            <v>10</v>
          </cell>
        </row>
        <row r="1375">
          <cell r="B1375">
            <v>39724</v>
          </cell>
          <cell r="C1375">
            <v>10</v>
          </cell>
        </row>
        <row r="1376">
          <cell r="B1376">
            <v>39725</v>
          </cell>
          <cell r="C1376">
            <v>10</v>
          </cell>
        </row>
        <row r="1377">
          <cell r="B1377">
            <v>39726</v>
          </cell>
          <cell r="C1377">
            <v>10</v>
          </cell>
        </row>
        <row r="1378">
          <cell r="B1378">
            <v>39727</v>
          </cell>
          <cell r="C1378">
            <v>10</v>
          </cell>
        </row>
        <row r="1379">
          <cell r="B1379">
            <v>39728</v>
          </cell>
          <cell r="C1379">
            <v>10</v>
          </cell>
        </row>
        <row r="1380">
          <cell r="B1380">
            <v>39729</v>
          </cell>
          <cell r="C1380">
            <v>10</v>
          </cell>
        </row>
        <row r="1381">
          <cell r="B1381">
            <v>39730</v>
          </cell>
          <cell r="C1381">
            <v>10</v>
          </cell>
        </row>
        <row r="1382">
          <cell r="B1382">
            <v>39731</v>
          </cell>
          <cell r="C1382">
            <v>10</v>
          </cell>
        </row>
        <row r="1383">
          <cell r="B1383">
            <v>39732</v>
          </cell>
          <cell r="C1383">
            <v>10</v>
          </cell>
        </row>
        <row r="1384">
          <cell r="B1384">
            <v>39733</v>
          </cell>
          <cell r="C1384">
            <v>10</v>
          </cell>
        </row>
        <row r="1385">
          <cell r="B1385">
            <v>39734</v>
          </cell>
          <cell r="C1385">
            <v>10</v>
          </cell>
        </row>
        <row r="1386">
          <cell r="B1386">
            <v>39735</v>
          </cell>
          <cell r="C1386">
            <v>10</v>
          </cell>
        </row>
        <row r="1387">
          <cell r="B1387">
            <v>39736</v>
          </cell>
          <cell r="C1387">
            <v>10</v>
          </cell>
        </row>
        <row r="1388">
          <cell r="B1388">
            <v>39737</v>
          </cell>
          <cell r="C1388">
            <v>10</v>
          </cell>
        </row>
        <row r="1389">
          <cell r="B1389">
            <v>39738</v>
          </cell>
          <cell r="C1389">
            <v>10</v>
          </cell>
        </row>
        <row r="1390">
          <cell r="B1390">
            <v>39739</v>
          </cell>
          <cell r="C1390">
            <v>10</v>
          </cell>
        </row>
        <row r="1391">
          <cell r="B1391">
            <v>39740</v>
          </cell>
          <cell r="C1391">
            <v>10</v>
          </cell>
        </row>
        <row r="1392">
          <cell r="B1392">
            <v>39741</v>
          </cell>
          <cell r="C1392">
            <v>10</v>
          </cell>
        </row>
        <row r="1393">
          <cell r="B1393">
            <v>39742</v>
          </cell>
          <cell r="C1393">
            <v>10</v>
          </cell>
        </row>
        <row r="1394">
          <cell r="B1394">
            <v>39743</v>
          </cell>
          <cell r="C1394">
            <v>10</v>
          </cell>
        </row>
        <row r="1395">
          <cell r="B1395">
            <v>39744</v>
          </cell>
          <cell r="C1395">
            <v>10</v>
          </cell>
        </row>
        <row r="1396">
          <cell r="B1396">
            <v>39745</v>
          </cell>
          <cell r="C1396">
            <v>10</v>
          </cell>
        </row>
        <row r="1397">
          <cell r="B1397">
            <v>39746</v>
          </cell>
          <cell r="C1397">
            <v>10</v>
          </cell>
        </row>
        <row r="1398">
          <cell r="B1398">
            <v>39747</v>
          </cell>
          <cell r="C1398">
            <v>10</v>
          </cell>
        </row>
        <row r="1399">
          <cell r="B1399">
            <v>39748</v>
          </cell>
          <cell r="C1399">
            <v>10</v>
          </cell>
        </row>
        <row r="1400">
          <cell r="B1400">
            <v>39749</v>
          </cell>
          <cell r="C1400">
            <v>10</v>
          </cell>
        </row>
        <row r="1401">
          <cell r="B1401">
            <v>39750</v>
          </cell>
          <cell r="C1401">
            <v>10</v>
          </cell>
        </row>
        <row r="1402">
          <cell r="B1402">
            <v>39751</v>
          </cell>
          <cell r="C1402">
            <v>10</v>
          </cell>
        </row>
        <row r="1403">
          <cell r="B1403">
            <v>39752</v>
          </cell>
          <cell r="C1403">
            <v>10</v>
          </cell>
        </row>
        <row r="1404">
          <cell r="B1404">
            <v>39753</v>
          </cell>
          <cell r="C1404">
            <v>11</v>
          </cell>
        </row>
        <row r="1405">
          <cell r="B1405">
            <v>39754</v>
          </cell>
          <cell r="C1405">
            <v>11</v>
          </cell>
        </row>
        <row r="1406">
          <cell r="B1406">
            <v>39755</v>
          </cell>
          <cell r="C1406">
            <v>11</v>
          </cell>
        </row>
        <row r="1407">
          <cell r="B1407">
            <v>39756</v>
          </cell>
          <cell r="C1407">
            <v>11</v>
          </cell>
        </row>
        <row r="1408">
          <cell r="B1408">
            <v>39757</v>
          </cell>
          <cell r="C1408">
            <v>11</v>
          </cell>
        </row>
        <row r="1409">
          <cell r="B1409">
            <v>39758</v>
          </cell>
          <cell r="C1409">
            <v>11</v>
          </cell>
        </row>
        <row r="1410">
          <cell r="B1410">
            <v>39759</v>
          </cell>
          <cell r="C1410">
            <v>11</v>
          </cell>
        </row>
        <row r="1411">
          <cell r="B1411">
            <v>39760</v>
          </cell>
          <cell r="C1411">
            <v>11</v>
          </cell>
        </row>
        <row r="1412">
          <cell r="B1412">
            <v>39761</v>
          </cell>
          <cell r="C1412">
            <v>11</v>
          </cell>
        </row>
        <row r="1413">
          <cell r="B1413">
            <v>39762</v>
          </cell>
          <cell r="C1413">
            <v>11</v>
          </cell>
        </row>
        <row r="1414">
          <cell r="B1414">
            <v>39763</v>
          </cell>
          <cell r="C1414">
            <v>11</v>
          </cell>
        </row>
        <row r="1415">
          <cell r="B1415">
            <v>39764</v>
          </cell>
          <cell r="C1415">
            <v>11</v>
          </cell>
        </row>
        <row r="1416">
          <cell r="B1416">
            <v>39765</v>
          </cell>
          <cell r="C1416">
            <v>11</v>
          </cell>
        </row>
        <row r="1417">
          <cell r="B1417">
            <v>39766</v>
          </cell>
          <cell r="C1417">
            <v>11</v>
          </cell>
        </row>
        <row r="1418">
          <cell r="B1418">
            <v>39767</v>
          </cell>
          <cell r="C1418">
            <v>11</v>
          </cell>
        </row>
        <row r="1419">
          <cell r="B1419">
            <v>39768</v>
          </cell>
          <cell r="C1419">
            <v>11</v>
          </cell>
        </row>
        <row r="1420">
          <cell r="B1420">
            <v>39769</v>
          </cell>
          <cell r="C1420">
            <v>11</v>
          </cell>
        </row>
        <row r="1421">
          <cell r="B1421">
            <v>39770</v>
          </cell>
          <cell r="C1421">
            <v>11</v>
          </cell>
        </row>
        <row r="1422">
          <cell r="B1422">
            <v>39771</v>
          </cell>
          <cell r="C1422">
            <v>11</v>
          </cell>
        </row>
        <row r="1423">
          <cell r="B1423">
            <v>39772</v>
          </cell>
          <cell r="C1423">
            <v>11</v>
          </cell>
        </row>
        <row r="1424">
          <cell r="B1424">
            <v>39773</v>
          </cell>
          <cell r="C1424">
            <v>11</v>
          </cell>
        </row>
        <row r="1425">
          <cell r="B1425">
            <v>39774</v>
          </cell>
          <cell r="C1425">
            <v>11</v>
          </cell>
        </row>
        <row r="1426">
          <cell r="B1426">
            <v>39775</v>
          </cell>
          <cell r="C1426">
            <v>11</v>
          </cell>
        </row>
        <row r="1427">
          <cell r="B1427">
            <v>39776</v>
          </cell>
          <cell r="C1427">
            <v>11</v>
          </cell>
        </row>
        <row r="1428">
          <cell r="B1428">
            <v>39777</v>
          </cell>
          <cell r="C1428">
            <v>11</v>
          </cell>
        </row>
        <row r="1429">
          <cell r="B1429">
            <v>39778</v>
          </cell>
          <cell r="C1429">
            <v>11</v>
          </cell>
        </row>
        <row r="1430">
          <cell r="B1430">
            <v>39779</v>
          </cell>
          <cell r="C1430">
            <v>11</v>
          </cell>
        </row>
        <row r="1431">
          <cell r="B1431">
            <v>39780</v>
          </cell>
          <cell r="C1431">
            <v>11</v>
          </cell>
        </row>
        <row r="1432">
          <cell r="B1432">
            <v>39781</v>
          </cell>
          <cell r="C1432">
            <v>11</v>
          </cell>
        </row>
        <row r="1433">
          <cell r="B1433">
            <v>39782</v>
          </cell>
          <cell r="C1433">
            <v>11</v>
          </cell>
        </row>
        <row r="1434">
          <cell r="B1434">
            <v>39783</v>
          </cell>
          <cell r="C1434">
            <v>12</v>
          </cell>
        </row>
        <row r="1435">
          <cell r="B1435">
            <v>39784</v>
          </cell>
          <cell r="C1435">
            <v>12</v>
          </cell>
        </row>
        <row r="1436">
          <cell r="B1436">
            <v>39785</v>
          </cell>
          <cell r="C1436">
            <v>12</v>
          </cell>
        </row>
        <row r="1437">
          <cell r="B1437">
            <v>39786</v>
          </cell>
          <cell r="C1437">
            <v>12</v>
          </cell>
        </row>
        <row r="1438">
          <cell r="B1438">
            <v>39787</v>
          </cell>
          <cell r="C1438">
            <v>12</v>
          </cell>
        </row>
        <row r="1439">
          <cell r="B1439">
            <v>39788</v>
          </cell>
          <cell r="C1439">
            <v>12</v>
          </cell>
        </row>
        <row r="1440">
          <cell r="B1440">
            <v>39789</v>
          </cell>
          <cell r="C1440">
            <v>12</v>
          </cell>
        </row>
        <row r="1441">
          <cell r="B1441">
            <v>39790</v>
          </cell>
          <cell r="C1441">
            <v>12</v>
          </cell>
        </row>
        <row r="1442">
          <cell r="B1442">
            <v>39791</v>
          </cell>
          <cell r="C1442">
            <v>12</v>
          </cell>
        </row>
        <row r="1443">
          <cell r="B1443">
            <v>39792</v>
          </cell>
          <cell r="C1443">
            <v>12</v>
          </cell>
        </row>
        <row r="1444">
          <cell r="B1444">
            <v>39793</v>
          </cell>
          <cell r="C1444">
            <v>12</v>
          </cell>
        </row>
        <row r="1445">
          <cell r="B1445">
            <v>39794</v>
          </cell>
          <cell r="C1445">
            <v>12</v>
          </cell>
        </row>
        <row r="1446">
          <cell r="B1446">
            <v>39795</v>
          </cell>
          <cell r="C1446">
            <v>12</v>
          </cell>
        </row>
        <row r="1447">
          <cell r="B1447">
            <v>39796</v>
          </cell>
          <cell r="C1447">
            <v>12</v>
          </cell>
        </row>
        <row r="1448">
          <cell r="B1448">
            <v>39797</v>
          </cell>
          <cell r="C1448">
            <v>12</v>
          </cell>
        </row>
        <row r="1449">
          <cell r="B1449">
            <v>39798</v>
          </cell>
          <cell r="C1449">
            <v>12</v>
          </cell>
        </row>
        <row r="1450">
          <cell r="B1450">
            <v>39799</v>
          </cell>
          <cell r="C1450">
            <v>12</v>
          </cell>
        </row>
        <row r="1451">
          <cell r="B1451">
            <v>39800</v>
          </cell>
          <cell r="C1451">
            <v>12</v>
          </cell>
        </row>
        <row r="1452">
          <cell r="B1452">
            <v>39801</v>
          </cell>
          <cell r="C1452">
            <v>12</v>
          </cell>
        </row>
        <row r="1453">
          <cell r="B1453">
            <v>39802</v>
          </cell>
          <cell r="C1453">
            <v>12</v>
          </cell>
        </row>
        <row r="1454">
          <cell r="B1454">
            <v>39803</v>
          </cell>
          <cell r="C1454">
            <v>12</v>
          </cell>
        </row>
        <row r="1455">
          <cell r="B1455">
            <v>39804</v>
          </cell>
          <cell r="C1455">
            <v>12</v>
          </cell>
        </row>
        <row r="1456">
          <cell r="B1456">
            <v>39805</v>
          </cell>
          <cell r="C1456">
            <v>12</v>
          </cell>
        </row>
        <row r="1457">
          <cell r="B1457">
            <v>39806</v>
          </cell>
          <cell r="C1457">
            <v>12</v>
          </cell>
        </row>
        <row r="1458">
          <cell r="B1458">
            <v>39807</v>
          </cell>
          <cell r="C1458">
            <v>12</v>
          </cell>
        </row>
        <row r="1459">
          <cell r="B1459">
            <v>39808</v>
          </cell>
          <cell r="C1459">
            <v>12</v>
          </cell>
        </row>
        <row r="1460">
          <cell r="B1460">
            <v>39809</v>
          </cell>
          <cell r="C1460">
            <v>12</v>
          </cell>
        </row>
        <row r="1461">
          <cell r="B1461">
            <v>39810</v>
          </cell>
          <cell r="C1461">
            <v>12</v>
          </cell>
        </row>
        <row r="1462">
          <cell r="B1462">
            <v>39811</v>
          </cell>
          <cell r="C1462">
            <v>12</v>
          </cell>
        </row>
        <row r="1463">
          <cell r="B1463">
            <v>39812</v>
          </cell>
          <cell r="C1463">
            <v>12</v>
          </cell>
        </row>
        <row r="1464">
          <cell r="B1464">
            <v>39813</v>
          </cell>
          <cell r="C1464">
            <v>12</v>
          </cell>
        </row>
        <row r="1465">
          <cell r="B1465">
            <v>39814</v>
          </cell>
          <cell r="C1465">
            <v>1</v>
          </cell>
        </row>
        <row r="1466">
          <cell r="B1466">
            <v>39815</v>
          </cell>
          <cell r="C1466">
            <v>1</v>
          </cell>
        </row>
        <row r="1467">
          <cell r="B1467">
            <v>39816</v>
          </cell>
          <cell r="C1467">
            <v>1</v>
          </cell>
        </row>
        <row r="1468">
          <cell r="B1468">
            <v>39817</v>
          </cell>
          <cell r="C1468">
            <v>1</v>
          </cell>
        </row>
        <row r="1469">
          <cell r="B1469">
            <v>39818</v>
          </cell>
          <cell r="C1469">
            <v>1</v>
          </cell>
        </row>
        <row r="1470">
          <cell r="B1470">
            <v>39819</v>
          </cell>
          <cell r="C1470">
            <v>1</v>
          </cell>
        </row>
        <row r="1471">
          <cell r="B1471">
            <v>39820</v>
          </cell>
          <cell r="C1471">
            <v>1</v>
          </cell>
        </row>
        <row r="1472">
          <cell r="B1472">
            <v>39821</v>
          </cell>
          <cell r="C1472">
            <v>1</v>
          </cell>
        </row>
        <row r="1473">
          <cell r="B1473">
            <v>39822</v>
          </cell>
          <cell r="C1473">
            <v>1</v>
          </cell>
        </row>
        <row r="1474">
          <cell r="B1474">
            <v>39823</v>
          </cell>
          <cell r="C1474">
            <v>1</v>
          </cell>
        </row>
        <row r="1475">
          <cell r="B1475">
            <v>39824</v>
          </cell>
          <cell r="C1475">
            <v>1</v>
          </cell>
        </row>
        <row r="1476">
          <cell r="B1476">
            <v>39825</v>
          </cell>
          <cell r="C1476">
            <v>1</v>
          </cell>
        </row>
        <row r="1477">
          <cell r="B1477">
            <v>39826</v>
          </cell>
          <cell r="C1477">
            <v>1</v>
          </cell>
        </row>
        <row r="1478">
          <cell r="B1478">
            <v>39827</v>
          </cell>
          <cell r="C1478">
            <v>1</v>
          </cell>
        </row>
        <row r="1479">
          <cell r="B1479">
            <v>39828</v>
          </cell>
          <cell r="C1479">
            <v>1</v>
          </cell>
        </row>
        <row r="1480">
          <cell r="B1480">
            <v>39829</v>
          </cell>
          <cell r="C1480">
            <v>1</v>
          </cell>
        </row>
        <row r="1481">
          <cell r="B1481">
            <v>39830</v>
          </cell>
          <cell r="C1481">
            <v>1</v>
          </cell>
        </row>
        <row r="1482">
          <cell r="B1482">
            <v>39831</v>
          </cell>
          <cell r="C1482">
            <v>1</v>
          </cell>
        </row>
        <row r="1483">
          <cell r="B1483">
            <v>39832</v>
          </cell>
          <cell r="C1483">
            <v>1</v>
          </cell>
        </row>
        <row r="1484">
          <cell r="B1484">
            <v>39833</v>
          </cell>
          <cell r="C1484">
            <v>1</v>
          </cell>
        </row>
        <row r="1485">
          <cell r="B1485">
            <v>39834</v>
          </cell>
          <cell r="C1485">
            <v>1</v>
          </cell>
        </row>
        <row r="1486">
          <cell r="B1486">
            <v>39835</v>
          </cell>
          <cell r="C1486">
            <v>1</v>
          </cell>
        </row>
        <row r="1487">
          <cell r="B1487">
            <v>39836</v>
          </cell>
          <cell r="C1487">
            <v>1</v>
          </cell>
        </row>
        <row r="1488">
          <cell r="B1488">
            <v>39837</v>
          </cell>
          <cell r="C1488">
            <v>1</v>
          </cell>
        </row>
        <row r="1489">
          <cell r="B1489">
            <v>39838</v>
          </cell>
          <cell r="C1489">
            <v>1</v>
          </cell>
        </row>
        <row r="1490">
          <cell r="B1490">
            <v>39839</v>
          </cell>
          <cell r="C1490">
            <v>1</v>
          </cell>
        </row>
        <row r="1491">
          <cell r="B1491">
            <v>39840</v>
          </cell>
          <cell r="C1491">
            <v>1</v>
          </cell>
        </row>
        <row r="1492">
          <cell r="B1492">
            <v>39841</v>
          </cell>
          <cell r="C1492">
            <v>1</v>
          </cell>
        </row>
        <row r="1493">
          <cell r="B1493">
            <v>39842</v>
          </cell>
          <cell r="C1493">
            <v>1</v>
          </cell>
        </row>
        <row r="1494">
          <cell r="B1494">
            <v>39843</v>
          </cell>
          <cell r="C1494">
            <v>1</v>
          </cell>
        </row>
        <row r="1495">
          <cell r="B1495">
            <v>39844</v>
          </cell>
          <cell r="C1495">
            <v>1</v>
          </cell>
        </row>
        <row r="1496">
          <cell r="B1496">
            <v>39845</v>
          </cell>
          <cell r="C1496">
            <v>2</v>
          </cell>
        </row>
        <row r="1497">
          <cell r="B1497">
            <v>39846</v>
          </cell>
          <cell r="C1497">
            <v>2</v>
          </cell>
        </row>
        <row r="1498">
          <cell r="B1498">
            <v>39847</v>
          </cell>
          <cell r="C1498">
            <v>2</v>
          </cell>
        </row>
        <row r="1499">
          <cell r="B1499">
            <v>39848</v>
          </cell>
          <cell r="C1499">
            <v>2</v>
          </cell>
        </row>
        <row r="1500">
          <cell r="B1500">
            <v>39849</v>
          </cell>
          <cell r="C1500">
            <v>2</v>
          </cell>
        </row>
        <row r="1501">
          <cell r="B1501">
            <v>39850</v>
          </cell>
          <cell r="C1501">
            <v>2</v>
          </cell>
        </row>
        <row r="1502">
          <cell r="B1502">
            <v>39851</v>
          </cell>
          <cell r="C1502">
            <v>2</v>
          </cell>
        </row>
        <row r="1503">
          <cell r="B1503">
            <v>39852</v>
          </cell>
          <cell r="C1503">
            <v>2</v>
          </cell>
        </row>
        <row r="1504">
          <cell r="B1504">
            <v>39853</v>
          </cell>
          <cell r="C1504">
            <v>2</v>
          </cell>
        </row>
        <row r="1505">
          <cell r="B1505">
            <v>39854</v>
          </cell>
          <cell r="C1505">
            <v>2</v>
          </cell>
        </row>
        <row r="1506">
          <cell r="B1506">
            <v>39855</v>
          </cell>
          <cell r="C1506">
            <v>2</v>
          </cell>
        </row>
        <row r="1507">
          <cell r="B1507">
            <v>39856</v>
          </cell>
          <cell r="C1507">
            <v>2</v>
          </cell>
        </row>
        <row r="1508">
          <cell r="B1508">
            <v>39857</v>
          </cell>
          <cell r="C1508">
            <v>2</v>
          </cell>
        </row>
        <row r="1509">
          <cell r="B1509">
            <v>39858</v>
          </cell>
          <cell r="C1509">
            <v>2</v>
          </cell>
        </row>
        <row r="1510">
          <cell r="B1510">
            <v>39859</v>
          </cell>
          <cell r="C1510">
            <v>2</v>
          </cell>
        </row>
        <row r="1511">
          <cell r="B1511">
            <v>39860</v>
          </cell>
          <cell r="C1511">
            <v>2</v>
          </cell>
        </row>
        <row r="1512">
          <cell r="B1512">
            <v>39861</v>
          </cell>
          <cell r="C1512">
            <v>2</v>
          </cell>
        </row>
        <row r="1513">
          <cell r="B1513">
            <v>39862</v>
          </cell>
          <cell r="C1513">
            <v>2</v>
          </cell>
        </row>
        <row r="1514">
          <cell r="B1514">
            <v>39863</v>
          </cell>
          <cell r="C1514">
            <v>2</v>
          </cell>
        </row>
        <row r="1515">
          <cell r="B1515">
            <v>39864</v>
          </cell>
          <cell r="C1515">
            <v>2</v>
          </cell>
        </row>
        <row r="1516">
          <cell r="B1516">
            <v>39865</v>
          </cell>
          <cell r="C1516">
            <v>2</v>
          </cell>
        </row>
        <row r="1517">
          <cell r="B1517">
            <v>39866</v>
          </cell>
          <cell r="C1517">
            <v>2</v>
          </cell>
        </row>
        <row r="1518">
          <cell r="B1518">
            <v>39867</v>
          </cell>
          <cell r="C1518">
            <v>2</v>
          </cell>
        </row>
        <row r="1519">
          <cell r="B1519">
            <v>39868</v>
          </cell>
          <cell r="C1519">
            <v>2</v>
          </cell>
        </row>
        <row r="1520">
          <cell r="B1520">
            <v>39869</v>
          </cell>
          <cell r="C1520">
            <v>2</v>
          </cell>
        </row>
        <row r="1521">
          <cell r="B1521">
            <v>39870</v>
          </cell>
          <cell r="C1521">
            <v>2</v>
          </cell>
        </row>
        <row r="1522">
          <cell r="B1522">
            <v>39871</v>
          </cell>
          <cell r="C1522">
            <v>2</v>
          </cell>
        </row>
        <row r="1523">
          <cell r="B1523">
            <v>39872</v>
          </cell>
          <cell r="C1523">
            <v>2</v>
          </cell>
        </row>
        <row r="1524">
          <cell r="B1524">
            <v>39873</v>
          </cell>
          <cell r="C1524">
            <v>3</v>
          </cell>
        </row>
        <row r="1525">
          <cell r="B1525">
            <v>39874</v>
          </cell>
          <cell r="C1525">
            <v>3</v>
          </cell>
        </row>
        <row r="1526">
          <cell r="B1526">
            <v>39875</v>
          </cell>
          <cell r="C1526">
            <v>3</v>
          </cell>
        </row>
        <row r="1527">
          <cell r="B1527">
            <v>39876</v>
          </cell>
          <cell r="C1527">
            <v>3</v>
          </cell>
        </row>
        <row r="1528">
          <cell r="B1528">
            <v>39877</v>
          </cell>
          <cell r="C1528">
            <v>3</v>
          </cell>
        </row>
        <row r="1529">
          <cell r="B1529">
            <v>39878</v>
          </cell>
          <cell r="C1529">
            <v>3</v>
          </cell>
        </row>
        <row r="1530">
          <cell r="B1530">
            <v>39879</v>
          </cell>
          <cell r="C1530">
            <v>3</v>
          </cell>
        </row>
        <row r="1531">
          <cell r="B1531">
            <v>39880</v>
          </cell>
          <cell r="C1531">
            <v>3</v>
          </cell>
        </row>
        <row r="1532">
          <cell r="B1532">
            <v>39881</v>
          </cell>
          <cell r="C1532">
            <v>3</v>
          </cell>
        </row>
        <row r="1533">
          <cell r="B1533">
            <v>39882</v>
          </cell>
          <cell r="C1533">
            <v>3</v>
          </cell>
        </row>
        <row r="1534">
          <cell r="B1534">
            <v>39883</v>
          </cell>
          <cell r="C1534">
            <v>3</v>
          </cell>
        </row>
        <row r="1535">
          <cell r="B1535">
            <v>39884</v>
          </cell>
          <cell r="C1535">
            <v>3</v>
          </cell>
        </row>
        <row r="1536">
          <cell r="B1536">
            <v>39885</v>
          </cell>
          <cell r="C1536">
            <v>3</v>
          </cell>
        </row>
        <row r="1537">
          <cell r="B1537">
            <v>39886</v>
          </cell>
          <cell r="C1537">
            <v>3</v>
          </cell>
        </row>
        <row r="1538">
          <cell r="B1538">
            <v>39887</v>
          </cell>
          <cell r="C1538">
            <v>3</v>
          </cell>
        </row>
        <row r="1539">
          <cell r="B1539">
            <v>39888</v>
          </cell>
          <cell r="C1539">
            <v>3</v>
          </cell>
        </row>
        <row r="1540">
          <cell r="B1540">
            <v>39889</v>
          </cell>
          <cell r="C1540">
            <v>3</v>
          </cell>
        </row>
        <row r="1541">
          <cell r="B1541">
            <v>39890</v>
          </cell>
          <cell r="C1541">
            <v>3</v>
          </cell>
        </row>
        <row r="1542">
          <cell r="B1542">
            <v>39891</v>
          </cell>
          <cell r="C1542">
            <v>3</v>
          </cell>
        </row>
        <row r="1543">
          <cell r="B1543">
            <v>39892</v>
          </cell>
          <cell r="C1543">
            <v>3</v>
          </cell>
        </row>
        <row r="1544">
          <cell r="B1544">
            <v>39893</v>
          </cell>
          <cell r="C1544">
            <v>3</v>
          </cell>
        </row>
        <row r="1545">
          <cell r="B1545">
            <v>39894</v>
          </cell>
          <cell r="C1545">
            <v>3</v>
          </cell>
        </row>
        <row r="1546">
          <cell r="B1546">
            <v>39895</v>
          </cell>
          <cell r="C1546">
            <v>3</v>
          </cell>
        </row>
        <row r="1547">
          <cell r="B1547">
            <v>39896</v>
          </cell>
          <cell r="C1547">
            <v>3</v>
          </cell>
        </row>
        <row r="1548">
          <cell r="B1548">
            <v>39897</v>
          </cell>
          <cell r="C1548">
            <v>3</v>
          </cell>
        </row>
        <row r="1549">
          <cell r="B1549">
            <v>39898</v>
          </cell>
          <cell r="C1549">
            <v>3</v>
          </cell>
        </row>
        <row r="1550">
          <cell r="B1550">
            <v>39899</v>
          </cell>
          <cell r="C1550">
            <v>3</v>
          </cell>
        </row>
        <row r="1551">
          <cell r="B1551">
            <v>39900</v>
          </cell>
          <cell r="C1551">
            <v>3</v>
          </cell>
        </row>
        <row r="1552">
          <cell r="B1552">
            <v>39901</v>
          </cell>
          <cell r="C1552">
            <v>3</v>
          </cell>
        </row>
        <row r="1553">
          <cell r="B1553">
            <v>39902</v>
          </cell>
          <cell r="C1553">
            <v>3</v>
          </cell>
        </row>
        <row r="1554">
          <cell r="B1554">
            <v>39903</v>
          </cell>
          <cell r="C1554">
            <v>3</v>
          </cell>
        </row>
        <row r="1555">
          <cell r="B1555">
            <v>39904</v>
          </cell>
          <cell r="C1555">
            <v>4</v>
          </cell>
        </row>
        <row r="1556">
          <cell r="B1556">
            <v>39905</v>
          </cell>
          <cell r="C1556">
            <v>4</v>
          </cell>
        </row>
        <row r="1557">
          <cell r="B1557">
            <v>39906</v>
          </cell>
          <cell r="C1557">
            <v>4</v>
          </cell>
        </row>
        <row r="1558">
          <cell r="B1558">
            <v>39907</v>
          </cell>
          <cell r="C1558">
            <v>4</v>
          </cell>
        </row>
        <row r="1559">
          <cell r="B1559">
            <v>39908</v>
          </cell>
          <cell r="C1559">
            <v>4</v>
          </cell>
        </row>
        <row r="1560">
          <cell r="B1560">
            <v>39909</v>
          </cell>
          <cell r="C1560">
            <v>4</v>
          </cell>
        </row>
        <row r="1561">
          <cell r="B1561">
            <v>39910</v>
          </cell>
          <cell r="C1561">
            <v>4</v>
          </cell>
        </row>
        <row r="1562">
          <cell r="B1562">
            <v>39911</v>
          </cell>
          <cell r="C1562">
            <v>4</v>
          </cell>
        </row>
        <row r="1563">
          <cell r="B1563">
            <v>39912</v>
          </cell>
          <cell r="C1563">
            <v>4</v>
          </cell>
        </row>
        <row r="1564">
          <cell r="B1564">
            <v>39913</v>
          </cell>
          <cell r="C1564">
            <v>4</v>
          </cell>
        </row>
        <row r="1565">
          <cell r="B1565">
            <v>39914</v>
          </cell>
          <cell r="C1565">
            <v>4</v>
          </cell>
        </row>
        <row r="1566">
          <cell r="B1566">
            <v>39915</v>
          </cell>
          <cell r="C1566">
            <v>4</v>
          </cell>
        </row>
        <row r="1567">
          <cell r="B1567">
            <v>39916</v>
          </cell>
          <cell r="C1567">
            <v>4</v>
          </cell>
        </row>
        <row r="1568">
          <cell r="B1568">
            <v>39917</v>
          </cell>
          <cell r="C1568">
            <v>4</v>
          </cell>
        </row>
        <row r="1569">
          <cell r="B1569">
            <v>39918</v>
          </cell>
          <cell r="C1569">
            <v>4</v>
          </cell>
        </row>
        <row r="1570">
          <cell r="B1570">
            <v>39919</v>
          </cell>
          <cell r="C1570">
            <v>4</v>
          </cell>
        </row>
        <row r="1571">
          <cell r="B1571">
            <v>39920</v>
          </cell>
          <cell r="C1571">
            <v>4</v>
          </cell>
        </row>
        <row r="1572">
          <cell r="B1572">
            <v>39921</v>
          </cell>
          <cell r="C1572">
            <v>4</v>
          </cell>
        </row>
        <row r="1573">
          <cell r="B1573">
            <v>39922</v>
          </cell>
          <cell r="C1573">
            <v>4</v>
          </cell>
        </row>
        <row r="1574">
          <cell r="B1574">
            <v>39923</v>
          </cell>
          <cell r="C1574">
            <v>4</v>
          </cell>
        </row>
        <row r="1575">
          <cell r="B1575">
            <v>39924</v>
          </cell>
          <cell r="C1575">
            <v>4</v>
          </cell>
        </row>
        <row r="1576">
          <cell r="B1576">
            <v>39925</v>
          </cell>
          <cell r="C1576">
            <v>4</v>
          </cell>
        </row>
        <row r="1577">
          <cell r="B1577">
            <v>39926</v>
          </cell>
          <cell r="C1577">
            <v>4</v>
          </cell>
        </row>
        <row r="1578">
          <cell r="B1578">
            <v>39927</v>
          </cell>
          <cell r="C1578">
            <v>4</v>
          </cell>
        </row>
        <row r="1579">
          <cell r="B1579">
            <v>39928</v>
          </cell>
          <cell r="C1579">
            <v>4</v>
          </cell>
        </row>
        <row r="1580">
          <cell r="B1580">
            <v>39929</v>
          </cell>
          <cell r="C1580">
            <v>4</v>
          </cell>
        </row>
        <row r="1581">
          <cell r="B1581">
            <v>39930</v>
          </cell>
          <cell r="C1581">
            <v>4</v>
          </cell>
        </row>
        <row r="1582">
          <cell r="B1582">
            <v>39931</v>
          </cell>
          <cell r="C1582">
            <v>4</v>
          </cell>
        </row>
        <row r="1583">
          <cell r="B1583">
            <v>39932</v>
          </cell>
          <cell r="C1583">
            <v>4</v>
          </cell>
        </row>
        <row r="1584">
          <cell r="B1584">
            <v>39933</v>
          </cell>
          <cell r="C1584">
            <v>4</v>
          </cell>
        </row>
        <row r="1585">
          <cell r="B1585">
            <v>39934</v>
          </cell>
          <cell r="C1585">
            <v>5</v>
          </cell>
        </row>
        <row r="1586">
          <cell r="B1586">
            <v>39935</v>
          </cell>
          <cell r="C1586">
            <v>5</v>
          </cell>
        </row>
        <row r="1587">
          <cell r="B1587">
            <v>39936</v>
          </cell>
          <cell r="C1587">
            <v>5</v>
          </cell>
        </row>
        <row r="1588">
          <cell r="B1588">
            <v>39937</v>
          </cell>
          <cell r="C1588">
            <v>5</v>
          </cell>
        </row>
        <row r="1589">
          <cell r="B1589">
            <v>39938</v>
          </cell>
          <cell r="C1589">
            <v>5</v>
          </cell>
        </row>
        <row r="1590">
          <cell r="B1590">
            <v>39939</v>
          </cell>
          <cell r="C1590">
            <v>5</v>
          </cell>
        </row>
        <row r="1591">
          <cell r="B1591">
            <v>39940</v>
          </cell>
          <cell r="C1591">
            <v>5</v>
          </cell>
        </row>
        <row r="1592">
          <cell r="B1592">
            <v>39941</v>
          </cell>
          <cell r="C1592">
            <v>5</v>
          </cell>
        </row>
        <row r="1593">
          <cell r="B1593">
            <v>39942</v>
          </cell>
          <cell r="C1593">
            <v>5</v>
          </cell>
        </row>
        <row r="1594">
          <cell r="B1594">
            <v>39943</v>
          </cell>
          <cell r="C1594">
            <v>5</v>
          </cell>
        </row>
        <row r="1595">
          <cell r="B1595">
            <v>39944</v>
          </cell>
          <cell r="C1595">
            <v>5</v>
          </cell>
        </row>
        <row r="1596">
          <cell r="B1596">
            <v>39945</v>
          </cell>
          <cell r="C1596">
            <v>5</v>
          </cell>
        </row>
        <row r="1597">
          <cell r="B1597">
            <v>39946</v>
          </cell>
          <cell r="C1597">
            <v>5</v>
          </cell>
        </row>
        <row r="1598">
          <cell r="B1598">
            <v>39947</v>
          </cell>
          <cell r="C1598">
            <v>5</v>
          </cell>
        </row>
        <row r="1599">
          <cell r="B1599">
            <v>39948</v>
          </cell>
          <cell r="C1599">
            <v>5</v>
          </cell>
        </row>
        <row r="1600">
          <cell r="B1600">
            <v>39949</v>
          </cell>
          <cell r="C1600">
            <v>5</v>
          </cell>
        </row>
        <row r="1601">
          <cell r="B1601">
            <v>39950</v>
          </cell>
          <cell r="C1601">
            <v>5</v>
          </cell>
        </row>
        <row r="1602">
          <cell r="B1602">
            <v>39951</v>
          </cell>
          <cell r="C1602">
            <v>5</v>
          </cell>
        </row>
        <row r="1603">
          <cell r="B1603">
            <v>39952</v>
          </cell>
          <cell r="C1603">
            <v>5</v>
          </cell>
        </row>
        <row r="1604">
          <cell r="B1604">
            <v>39953</v>
          </cell>
          <cell r="C1604">
            <v>5</v>
          </cell>
        </row>
        <row r="1605">
          <cell r="B1605">
            <v>39954</v>
          </cell>
          <cell r="C1605">
            <v>5</v>
          </cell>
        </row>
        <row r="1606">
          <cell r="B1606">
            <v>39955</v>
          </cell>
          <cell r="C1606">
            <v>5</v>
          </cell>
        </row>
        <row r="1607">
          <cell r="B1607">
            <v>39956</v>
          </cell>
          <cell r="C1607">
            <v>5</v>
          </cell>
        </row>
        <row r="1608">
          <cell r="B1608">
            <v>39957</v>
          </cell>
          <cell r="C1608">
            <v>5</v>
          </cell>
        </row>
        <row r="1609">
          <cell r="B1609">
            <v>39958</v>
          </cell>
          <cell r="C1609">
            <v>5</v>
          </cell>
        </row>
        <row r="1610">
          <cell r="B1610">
            <v>39959</v>
          </cell>
          <cell r="C1610">
            <v>5</v>
          </cell>
        </row>
        <row r="1611">
          <cell r="B1611">
            <v>39960</v>
          </cell>
          <cell r="C1611">
            <v>5</v>
          </cell>
        </row>
        <row r="1612">
          <cell r="B1612">
            <v>39961</v>
          </cell>
          <cell r="C1612">
            <v>5</v>
          </cell>
        </row>
        <row r="1613">
          <cell r="B1613">
            <v>39962</v>
          </cell>
          <cell r="C1613">
            <v>5</v>
          </cell>
        </row>
        <row r="1614">
          <cell r="B1614">
            <v>39963</v>
          </cell>
          <cell r="C1614">
            <v>5</v>
          </cell>
        </row>
        <row r="1615">
          <cell r="B1615">
            <v>39964</v>
          </cell>
          <cell r="C1615">
            <v>5</v>
          </cell>
        </row>
        <row r="1616">
          <cell r="B1616">
            <v>39965</v>
          </cell>
          <cell r="C1616">
            <v>6</v>
          </cell>
        </row>
        <row r="1617">
          <cell r="B1617">
            <v>39966</v>
          </cell>
          <cell r="C1617">
            <v>6</v>
          </cell>
        </row>
        <row r="1618">
          <cell r="B1618">
            <v>39967</v>
          </cell>
          <cell r="C1618">
            <v>6</v>
          </cell>
        </row>
        <row r="1619">
          <cell r="B1619">
            <v>39968</v>
          </cell>
          <cell r="C1619">
            <v>6</v>
          </cell>
        </row>
        <row r="1620">
          <cell r="B1620">
            <v>39969</v>
          </cell>
          <cell r="C1620">
            <v>6</v>
          </cell>
        </row>
        <row r="1621">
          <cell r="B1621">
            <v>39970</v>
          </cell>
          <cell r="C1621">
            <v>6</v>
          </cell>
        </row>
        <row r="1622">
          <cell r="B1622">
            <v>39971</v>
          </cell>
          <cell r="C1622">
            <v>6</v>
          </cell>
        </row>
        <row r="1623">
          <cell r="B1623">
            <v>39972</v>
          </cell>
          <cell r="C1623">
            <v>6</v>
          </cell>
        </row>
        <row r="1624">
          <cell r="B1624">
            <v>39973</v>
          </cell>
          <cell r="C1624">
            <v>6</v>
          </cell>
        </row>
        <row r="1625">
          <cell r="B1625">
            <v>39974</v>
          </cell>
          <cell r="C1625">
            <v>6</v>
          </cell>
        </row>
        <row r="1626">
          <cell r="B1626">
            <v>39975</v>
          </cell>
          <cell r="C1626">
            <v>6</v>
          </cell>
        </row>
        <row r="1627">
          <cell r="B1627">
            <v>39976</v>
          </cell>
          <cell r="C1627">
            <v>6</v>
          </cell>
        </row>
        <row r="1628">
          <cell r="B1628">
            <v>39977</v>
          </cell>
          <cell r="C1628">
            <v>6</v>
          </cell>
        </row>
        <row r="1629">
          <cell r="B1629">
            <v>39978</v>
          </cell>
          <cell r="C1629">
            <v>6</v>
          </cell>
        </row>
        <row r="1630">
          <cell r="B1630">
            <v>39979</v>
          </cell>
          <cell r="C1630">
            <v>6</v>
          </cell>
        </row>
        <row r="1631">
          <cell r="B1631">
            <v>39980</v>
          </cell>
          <cell r="C1631">
            <v>6</v>
          </cell>
        </row>
        <row r="1632">
          <cell r="B1632">
            <v>39981</v>
          </cell>
          <cell r="C1632">
            <v>6</v>
          </cell>
        </row>
        <row r="1633">
          <cell r="B1633">
            <v>39982</v>
          </cell>
          <cell r="C1633">
            <v>6</v>
          </cell>
        </row>
        <row r="1634">
          <cell r="B1634">
            <v>39983</v>
          </cell>
          <cell r="C1634">
            <v>6</v>
          </cell>
        </row>
        <row r="1635">
          <cell r="B1635">
            <v>39984</v>
          </cell>
          <cell r="C1635">
            <v>6</v>
          </cell>
        </row>
        <row r="1636">
          <cell r="B1636">
            <v>39985</v>
          </cell>
          <cell r="C1636">
            <v>6</v>
          </cell>
        </row>
        <row r="1637">
          <cell r="B1637">
            <v>39986</v>
          </cell>
          <cell r="C1637">
            <v>6</v>
          </cell>
        </row>
        <row r="1638">
          <cell r="B1638">
            <v>39987</v>
          </cell>
          <cell r="C1638">
            <v>6</v>
          </cell>
        </row>
        <row r="1639">
          <cell r="B1639">
            <v>39988</v>
          </cell>
          <cell r="C1639">
            <v>6</v>
          </cell>
        </row>
        <row r="1640">
          <cell r="B1640">
            <v>39989</v>
          </cell>
          <cell r="C1640">
            <v>6</v>
          </cell>
        </row>
        <row r="1641">
          <cell r="B1641">
            <v>39990</v>
          </cell>
          <cell r="C1641">
            <v>6</v>
          </cell>
        </row>
        <row r="1642">
          <cell r="B1642">
            <v>39991</v>
          </cell>
          <cell r="C1642">
            <v>6</v>
          </cell>
        </row>
        <row r="1643">
          <cell r="B1643">
            <v>39992</v>
          </cell>
          <cell r="C1643">
            <v>6</v>
          </cell>
        </row>
        <row r="1644">
          <cell r="B1644">
            <v>39993</v>
          </cell>
          <cell r="C1644">
            <v>6</v>
          </cell>
        </row>
        <row r="1645">
          <cell r="B1645">
            <v>39994</v>
          </cell>
          <cell r="C1645">
            <v>6</v>
          </cell>
        </row>
        <row r="1646">
          <cell r="B1646">
            <v>39995</v>
          </cell>
          <cell r="C1646">
            <v>7</v>
          </cell>
        </row>
        <row r="1647">
          <cell r="B1647">
            <v>39996</v>
          </cell>
          <cell r="C1647">
            <v>7</v>
          </cell>
        </row>
        <row r="1648">
          <cell r="B1648">
            <v>39997</v>
          </cell>
          <cell r="C1648">
            <v>7</v>
          </cell>
        </row>
        <row r="1649">
          <cell r="B1649">
            <v>39998</v>
          </cell>
          <cell r="C1649">
            <v>7</v>
          </cell>
        </row>
        <row r="1650">
          <cell r="B1650">
            <v>39999</v>
          </cell>
          <cell r="C1650">
            <v>7</v>
          </cell>
        </row>
        <row r="1651">
          <cell r="B1651">
            <v>40000</v>
          </cell>
          <cell r="C1651">
            <v>7</v>
          </cell>
        </row>
        <row r="1652">
          <cell r="B1652">
            <v>40001</v>
          </cell>
          <cell r="C1652">
            <v>7</v>
          </cell>
        </row>
        <row r="1653">
          <cell r="B1653">
            <v>40002</v>
          </cell>
          <cell r="C1653">
            <v>7</v>
          </cell>
        </row>
        <row r="1654">
          <cell r="B1654">
            <v>40003</v>
          </cell>
          <cell r="C1654">
            <v>7</v>
          </cell>
        </row>
        <row r="1655">
          <cell r="B1655">
            <v>40004</v>
          </cell>
          <cell r="C1655">
            <v>7</v>
          </cell>
        </row>
        <row r="1656">
          <cell r="B1656">
            <v>40005</v>
          </cell>
          <cell r="C1656">
            <v>7</v>
          </cell>
        </row>
        <row r="1657">
          <cell r="B1657">
            <v>40006</v>
          </cell>
          <cell r="C1657">
            <v>7</v>
          </cell>
        </row>
        <row r="1658">
          <cell r="B1658">
            <v>40007</v>
          </cell>
          <cell r="C1658">
            <v>7</v>
          </cell>
        </row>
        <row r="1659">
          <cell r="B1659">
            <v>40008</v>
          </cell>
          <cell r="C1659">
            <v>7</v>
          </cell>
        </row>
        <row r="1660">
          <cell r="B1660">
            <v>40009</v>
          </cell>
          <cell r="C1660">
            <v>7</v>
          </cell>
        </row>
        <row r="1661">
          <cell r="B1661">
            <v>40010</v>
          </cell>
          <cell r="C1661">
            <v>7</v>
          </cell>
        </row>
        <row r="1662">
          <cell r="B1662">
            <v>40011</v>
          </cell>
          <cell r="C1662">
            <v>7</v>
          </cell>
        </row>
        <row r="1663">
          <cell r="B1663">
            <v>40012</v>
          </cell>
          <cell r="C1663">
            <v>7</v>
          </cell>
        </row>
        <row r="1664">
          <cell r="B1664">
            <v>40013</v>
          </cell>
          <cell r="C1664">
            <v>7</v>
          </cell>
        </row>
        <row r="1665">
          <cell r="B1665">
            <v>40014</v>
          </cell>
          <cell r="C1665">
            <v>7</v>
          </cell>
        </row>
        <row r="1666">
          <cell r="B1666">
            <v>40015</v>
          </cell>
          <cell r="C1666">
            <v>7</v>
          </cell>
        </row>
        <row r="1667">
          <cell r="B1667">
            <v>40016</v>
          </cell>
          <cell r="C1667">
            <v>7</v>
          </cell>
        </row>
        <row r="1668">
          <cell r="B1668">
            <v>40017</v>
          </cell>
          <cell r="C1668">
            <v>7</v>
          </cell>
        </row>
        <row r="1669">
          <cell r="B1669">
            <v>40018</v>
          </cell>
          <cell r="C1669">
            <v>7</v>
          </cell>
        </row>
        <row r="1670">
          <cell r="B1670">
            <v>40019</v>
          </cell>
          <cell r="C1670">
            <v>7</v>
          </cell>
        </row>
        <row r="1671">
          <cell r="B1671">
            <v>40020</v>
          </cell>
          <cell r="C1671">
            <v>7</v>
          </cell>
        </row>
        <row r="1672">
          <cell r="B1672">
            <v>40021</v>
          </cell>
          <cell r="C1672">
            <v>7</v>
          </cell>
        </row>
        <row r="1673">
          <cell r="B1673">
            <v>40022</v>
          </cell>
          <cell r="C1673">
            <v>7</v>
          </cell>
        </row>
        <row r="1674">
          <cell r="B1674">
            <v>40023</v>
          </cell>
          <cell r="C1674">
            <v>7</v>
          </cell>
        </row>
        <row r="1675">
          <cell r="B1675">
            <v>40024</v>
          </cell>
          <cell r="C1675">
            <v>7</v>
          </cell>
        </row>
        <row r="1676">
          <cell r="B1676">
            <v>40025</v>
          </cell>
          <cell r="C1676">
            <v>7</v>
          </cell>
        </row>
        <row r="1677">
          <cell r="B1677">
            <v>40026</v>
          </cell>
          <cell r="C1677">
            <v>8</v>
          </cell>
        </row>
        <row r="1678">
          <cell r="B1678">
            <v>40027</v>
          </cell>
          <cell r="C1678">
            <v>8</v>
          </cell>
        </row>
        <row r="1679">
          <cell r="B1679">
            <v>40028</v>
          </cell>
          <cell r="C1679">
            <v>8</v>
          </cell>
        </row>
        <row r="1680">
          <cell r="B1680">
            <v>40029</v>
          </cell>
          <cell r="C1680">
            <v>8</v>
          </cell>
        </row>
        <row r="1681">
          <cell r="B1681">
            <v>40030</v>
          </cell>
          <cell r="C1681">
            <v>8</v>
          </cell>
        </row>
        <row r="1682">
          <cell r="B1682">
            <v>40031</v>
          </cell>
          <cell r="C1682">
            <v>8</v>
          </cell>
        </row>
        <row r="1683">
          <cell r="B1683">
            <v>40032</v>
          </cell>
          <cell r="C1683">
            <v>8</v>
          </cell>
        </row>
        <row r="1684">
          <cell r="B1684">
            <v>40033</v>
          </cell>
          <cell r="C1684">
            <v>8</v>
          </cell>
        </row>
        <row r="1685">
          <cell r="B1685">
            <v>40034</v>
          </cell>
          <cell r="C1685">
            <v>8</v>
          </cell>
        </row>
        <row r="1686">
          <cell r="B1686">
            <v>40035</v>
          </cell>
          <cell r="C1686">
            <v>8</v>
          </cell>
        </row>
        <row r="1687">
          <cell r="B1687">
            <v>40036</v>
          </cell>
          <cell r="C1687">
            <v>8</v>
          </cell>
        </row>
        <row r="1688">
          <cell r="B1688">
            <v>40037</v>
          </cell>
          <cell r="C1688">
            <v>8</v>
          </cell>
        </row>
        <row r="1689">
          <cell r="B1689">
            <v>40038</v>
          </cell>
          <cell r="C1689">
            <v>8</v>
          </cell>
        </row>
        <row r="1690">
          <cell r="B1690">
            <v>40039</v>
          </cell>
          <cell r="C1690">
            <v>8</v>
          </cell>
        </row>
        <row r="1691">
          <cell r="B1691">
            <v>40040</v>
          </cell>
          <cell r="C1691">
            <v>8</v>
          </cell>
        </row>
        <row r="1692">
          <cell r="B1692">
            <v>40041</v>
          </cell>
          <cell r="C1692">
            <v>8</v>
          </cell>
        </row>
        <row r="1693">
          <cell r="B1693">
            <v>40042</v>
          </cell>
          <cell r="C1693">
            <v>8</v>
          </cell>
        </row>
        <row r="1694">
          <cell r="B1694">
            <v>40043</v>
          </cell>
          <cell r="C1694">
            <v>8</v>
          </cell>
        </row>
        <row r="1695">
          <cell r="B1695">
            <v>40044</v>
          </cell>
          <cell r="C1695">
            <v>8</v>
          </cell>
        </row>
        <row r="1696">
          <cell r="B1696">
            <v>40045</v>
          </cell>
          <cell r="C1696">
            <v>8</v>
          </cell>
        </row>
        <row r="1697">
          <cell r="B1697">
            <v>40046</v>
          </cell>
          <cell r="C1697">
            <v>8</v>
          </cell>
        </row>
        <row r="1698">
          <cell r="B1698">
            <v>40047</v>
          </cell>
          <cell r="C1698">
            <v>8</v>
          </cell>
        </row>
        <row r="1699">
          <cell r="B1699">
            <v>40048</v>
          </cell>
          <cell r="C1699">
            <v>8</v>
          </cell>
        </row>
        <row r="1700">
          <cell r="B1700">
            <v>40049</v>
          </cell>
          <cell r="C1700">
            <v>8</v>
          </cell>
        </row>
        <row r="1701">
          <cell r="B1701">
            <v>40050</v>
          </cell>
          <cell r="C1701">
            <v>8</v>
          </cell>
        </row>
        <row r="1702">
          <cell r="B1702">
            <v>40051</v>
          </cell>
          <cell r="C1702">
            <v>8</v>
          </cell>
        </row>
        <row r="1703">
          <cell r="B1703">
            <v>40052</v>
          </cell>
          <cell r="C1703">
            <v>8</v>
          </cell>
        </row>
        <row r="1704">
          <cell r="B1704">
            <v>40053</v>
          </cell>
          <cell r="C1704">
            <v>8</v>
          </cell>
        </row>
        <row r="1705">
          <cell r="B1705">
            <v>40054</v>
          </cell>
          <cell r="C1705">
            <v>8</v>
          </cell>
        </row>
        <row r="1706">
          <cell r="B1706">
            <v>40055</v>
          </cell>
          <cell r="C1706">
            <v>8</v>
          </cell>
        </row>
        <row r="1707">
          <cell r="B1707">
            <v>40056</v>
          </cell>
          <cell r="C1707">
            <v>8</v>
          </cell>
        </row>
        <row r="1708">
          <cell r="B1708">
            <v>40057</v>
          </cell>
          <cell r="C1708">
            <v>9</v>
          </cell>
        </row>
        <row r="1709">
          <cell r="B1709">
            <v>40058</v>
          </cell>
          <cell r="C1709">
            <v>9</v>
          </cell>
        </row>
        <row r="1710">
          <cell r="B1710">
            <v>40059</v>
          </cell>
          <cell r="C1710">
            <v>9</v>
          </cell>
        </row>
        <row r="1711">
          <cell r="B1711">
            <v>40060</v>
          </cell>
          <cell r="C1711">
            <v>9</v>
          </cell>
        </row>
        <row r="1712">
          <cell r="B1712">
            <v>40061</v>
          </cell>
          <cell r="C1712">
            <v>9</v>
          </cell>
        </row>
        <row r="1713">
          <cell r="B1713">
            <v>40062</v>
          </cell>
          <cell r="C1713">
            <v>9</v>
          </cell>
        </row>
        <row r="1714">
          <cell r="B1714">
            <v>40063</v>
          </cell>
          <cell r="C1714">
            <v>9</v>
          </cell>
        </row>
        <row r="1715">
          <cell r="B1715">
            <v>40064</v>
          </cell>
          <cell r="C1715">
            <v>9</v>
          </cell>
        </row>
        <row r="1716">
          <cell r="B1716">
            <v>40065</v>
          </cell>
          <cell r="C1716">
            <v>9</v>
          </cell>
        </row>
        <row r="1717">
          <cell r="B1717">
            <v>40066</v>
          </cell>
          <cell r="C1717">
            <v>9</v>
          </cell>
        </row>
        <row r="1718">
          <cell r="B1718">
            <v>40067</v>
          </cell>
          <cell r="C1718">
            <v>9</v>
          </cell>
        </row>
        <row r="1719">
          <cell r="B1719">
            <v>40068</v>
          </cell>
          <cell r="C1719">
            <v>9</v>
          </cell>
        </row>
        <row r="1720">
          <cell r="B1720">
            <v>40069</v>
          </cell>
          <cell r="C1720">
            <v>9</v>
          </cell>
        </row>
        <row r="1721">
          <cell r="B1721">
            <v>40070</v>
          </cell>
          <cell r="C1721">
            <v>9</v>
          </cell>
        </row>
        <row r="1722">
          <cell r="B1722">
            <v>40071</v>
          </cell>
          <cell r="C1722">
            <v>9</v>
          </cell>
        </row>
        <row r="1723">
          <cell r="B1723">
            <v>40072</v>
          </cell>
          <cell r="C1723">
            <v>9</v>
          </cell>
        </row>
        <row r="1724">
          <cell r="B1724">
            <v>40073</v>
          </cell>
          <cell r="C1724">
            <v>9</v>
          </cell>
        </row>
        <row r="1725">
          <cell r="B1725">
            <v>40074</v>
          </cell>
          <cell r="C1725">
            <v>9</v>
          </cell>
        </row>
        <row r="1726">
          <cell r="B1726">
            <v>40075</v>
          </cell>
          <cell r="C1726">
            <v>9</v>
          </cell>
        </row>
        <row r="1727">
          <cell r="B1727">
            <v>40076</v>
          </cell>
          <cell r="C1727">
            <v>9</v>
          </cell>
        </row>
        <row r="1728">
          <cell r="B1728">
            <v>40077</v>
          </cell>
          <cell r="C1728">
            <v>9</v>
          </cell>
        </row>
        <row r="1729">
          <cell r="B1729">
            <v>40078</v>
          </cell>
          <cell r="C1729">
            <v>9</v>
          </cell>
        </row>
        <row r="1730">
          <cell r="B1730">
            <v>40079</v>
          </cell>
          <cell r="C1730">
            <v>9</v>
          </cell>
        </row>
        <row r="1731">
          <cell r="B1731">
            <v>40080</v>
          </cell>
          <cell r="C1731">
            <v>9</v>
          </cell>
        </row>
        <row r="1732">
          <cell r="B1732">
            <v>40081</v>
          </cell>
          <cell r="C1732">
            <v>9</v>
          </cell>
        </row>
        <row r="1733">
          <cell r="B1733">
            <v>40082</v>
          </cell>
          <cell r="C1733">
            <v>9</v>
          </cell>
        </row>
        <row r="1734">
          <cell r="B1734">
            <v>40083</v>
          </cell>
          <cell r="C1734">
            <v>9</v>
          </cell>
        </row>
        <row r="1735">
          <cell r="B1735">
            <v>40084</v>
          </cell>
          <cell r="C1735">
            <v>9</v>
          </cell>
        </row>
        <row r="1736">
          <cell r="B1736">
            <v>40085</v>
          </cell>
          <cell r="C1736">
            <v>9</v>
          </cell>
        </row>
        <row r="1737">
          <cell r="B1737">
            <v>40086</v>
          </cell>
          <cell r="C1737">
            <v>9</v>
          </cell>
        </row>
        <row r="1738">
          <cell r="B1738">
            <v>40087</v>
          </cell>
          <cell r="C1738">
            <v>10</v>
          </cell>
        </row>
        <row r="1739">
          <cell r="B1739">
            <v>40088</v>
          </cell>
          <cell r="C1739">
            <v>10</v>
          </cell>
        </row>
        <row r="1740">
          <cell r="B1740">
            <v>40089</v>
          </cell>
          <cell r="C1740">
            <v>10</v>
          </cell>
        </row>
        <row r="1741">
          <cell r="B1741">
            <v>40090</v>
          </cell>
          <cell r="C1741">
            <v>10</v>
          </cell>
        </row>
        <row r="1742">
          <cell r="B1742">
            <v>40091</v>
          </cell>
          <cell r="C1742">
            <v>10</v>
          </cell>
        </row>
        <row r="1743">
          <cell r="B1743">
            <v>40092</v>
          </cell>
          <cell r="C1743">
            <v>10</v>
          </cell>
        </row>
        <row r="1744">
          <cell r="B1744">
            <v>40093</v>
          </cell>
          <cell r="C1744">
            <v>10</v>
          </cell>
        </row>
        <row r="1745">
          <cell r="B1745">
            <v>40094</v>
          </cell>
          <cell r="C1745">
            <v>10</v>
          </cell>
        </row>
        <row r="1746">
          <cell r="B1746">
            <v>40095</v>
          </cell>
          <cell r="C1746">
            <v>10</v>
          </cell>
        </row>
        <row r="1747">
          <cell r="B1747">
            <v>40096</v>
          </cell>
          <cell r="C1747">
            <v>10</v>
          </cell>
        </row>
        <row r="1748">
          <cell r="B1748">
            <v>40097</v>
          </cell>
          <cell r="C1748">
            <v>10</v>
          </cell>
        </row>
        <row r="1749">
          <cell r="B1749">
            <v>40098</v>
          </cell>
          <cell r="C1749">
            <v>10</v>
          </cell>
        </row>
        <row r="1750">
          <cell r="B1750">
            <v>40099</v>
          </cell>
          <cell r="C1750">
            <v>10</v>
          </cell>
        </row>
        <row r="1751">
          <cell r="B1751">
            <v>40100</v>
          </cell>
          <cell r="C1751">
            <v>10</v>
          </cell>
        </row>
        <row r="1752">
          <cell r="B1752">
            <v>40101</v>
          </cell>
          <cell r="C1752">
            <v>10</v>
          </cell>
        </row>
        <row r="1753">
          <cell r="B1753">
            <v>40102</v>
          </cell>
          <cell r="C1753">
            <v>10</v>
          </cell>
        </row>
        <row r="1754">
          <cell r="B1754">
            <v>40103</v>
          </cell>
          <cell r="C1754">
            <v>10</v>
          </cell>
        </row>
        <row r="1755">
          <cell r="B1755">
            <v>40104</v>
          </cell>
          <cell r="C1755">
            <v>10</v>
          </cell>
        </row>
        <row r="1756">
          <cell r="B1756">
            <v>40105</v>
          </cell>
          <cell r="C1756">
            <v>10</v>
          </cell>
        </row>
        <row r="1757">
          <cell r="B1757">
            <v>40106</v>
          </cell>
          <cell r="C1757">
            <v>10</v>
          </cell>
        </row>
        <row r="1758">
          <cell r="B1758">
            <v>40107</v>
          </cell>
          <cell r="C1758">
            <v>10</v>
          </cell>
        </row>
        <row r="1759">
          <cell r="B1759">
            <v>40108</v>
          </cell>
          <cell r="C1759">
            <v>10</v>
          </cell>
        </row>
        <row r="1760">
          <cell r="B1760">
            <v>40109</v>
          </cell>
          <cell r="C1760">
            <v>10</v>
          </cell>
        </row>
        <row r="1761">
          <cell r="B1761">
            <v>40110</v>
          </cell>
          <cell r="C1761">
            <v>10</v>
          </cell>
        </row>
        <row r="1762">
          <cell r="B1762">
            <v>40111</v>
          </cell>
          <cell r="C1762">
            <v>10</v>
          </cell>
        </row>
        <row r="1763">
          <cell r="B1763">
            <v>40112</v>
          </cell>
          <cell r="C1763">
            <v>10</v>
          </cell>
        </row>
        <row r="1764">
          <cell r="B1764">
            <v>40113</v>
          </cell>
          <cell r="C1764">
            <v>10</v>
          </cell>
        </row>
        <row r="1765">
          <cell r="B1765">
            <v>40114</v>
          </cell>
          <cell r="C1765">
            <v>10</v>
          </cell>
        </row>
        <row r="1766">
          <cell r="B1766">
            <v>40115</v>
          </cell>
          <cell r="C1766">
            <v>10</v>
          </cell>
        </row>
        <row r="1767">
          <cell r="B1767">
            <v>40116</v>
          </cell>
          <cell r="C1767">
            <v>10</v>
          </cell>
        </row>
        <row r="1768">
          <cell r="B1768">
            <v>40117</v>
          </cell>
          <cell r="C1768">
            <v>10</v>
          </cell>
        </row>
        <row r="1769">
          <cell r="B1769">
            <v>40118</v>
          </cell>
          <cell r="C1769">
            <v>11</v>
          </cell>
        </row>
        <row r="1770">
          <cell r="B1770">
            <v>40119</v>
          </cell>
          <cell r="C1770">
            <v>11</v>
          </cell>
        </row>
        <row r="1771">
          <cell r="B1771">
            <v>40120</v>
          </cell>
          <cell r="C1771">
            <v>11</v>
          </cell>
        </row>
        <row r="1772">
          <cell r="B1772">
            <v>40121</v>
          </cell>
          <cell r="C1772">
            <v>11</v>
          </cell>
        </row>
        <row r="1773">
          <cell r="B1773">
            <v>40122</v>
          </cell>
          <cell r="C1773">
            <v>11</v>
          </cell>
        </row>
        <row r="1774">
          <cell r="B1774">
            <v>40123</v>
          </cell>
          <cell r="C1774">
            <v>11</v>
          </cell>
        </row>
        <row r="1775">
          <cell r="B1775">
            <v>40124</v>
          </cell>
          <cell r="C1775">
            <v>11</v>
          </cell>
        </row>
        <row r="1776">
          <cell r="B1776">
            <v>40125</v>
          </cell>
          <cell r="C1776">
            <v>11</v>
          </cell>
        </row>
        <row r="1777">
          <cell r="B1777">
            <v>40126</v>
          </cell>
          <cell r="C1777">
            <v>11</v>
          </cell>
        </row>
        <row r="1778">
          <cell r="B1778">
            <v>40127</v>
          </cell>
          <cell r="C1778">
            <v>11</v>
          </cell>
        </row>
        <row r="1779">
          <cell r="B1779">
            <v>40128</v>
          </cell>
          <cell r="C1779">
            <v>11</v>
          </cell>
        </row>
        <row r="1780">
          <cell r="B1780">
            <v>40129</v>
          </cell>
          <cell r="C1780">
            <v>11</v>
          </cell>
        </row>
        <row r="1781">
          <cell r="B1781">
            <v>40130</v>
          </cell>
          <cell r="C1781">
            <v>11</v>
          </cell>
        </row>
        <row r="1782">
          <cell r="B1782">
            <v>40131</v>
          </cell>
          <cell r="C1782">
            <v>11</v>
          </cell>
        </row>
        <row r="1783">
          <cell r="B1783">
            <v>40132</v>
          </cell>
          <cell r="C1783">
            <v>11</v>
          </cell>
        </row>
        <row r="1784">
          <cell r="B1784">
            <v>40133</v>
          </cell>
          <cell r="C1784">
            <v>11</v>
          </cell>
        </row>
        <row r="1785">
          <cell r="B1785">
            <v>40134</v>
          </cell>
          <cell r="C1785">
            <v>11</v>
          </cell>
        </row>
        <row r="1786">
          <cell r="B1786">
            <v>40135</v>
          </cell>
          <cell r="C1786">
            <v>11</v>
          </cell>
        </row>
        <row r="1787">
          <cell r="B1787">
            <v>40136</v>
          </cell>
          <cell r="C1787">
            <v>11</v>
          </cell>
        </row>
        <row r="1788">
          <cell r="B1788">
            <v>40137</v>
          </cell>
          <cell r="C1788">
            <v>11</v>
          </cell>
        </row>
        <row r="1789">
          <cell r="B1789">
            <v>40138</v>
          </cell>
          <cell r="C1789">
            <v>11</v>
          </cell>
        </row>
        <row r="1790">
          <cell r="B1790">
            <v>40139</v>
          </cell>
          <cell r="C1790">
            <v>11</v>
          </cell>
        </row>
        <row r="1791">
          <cell r="B1791">
            <v>40140</v>
          </cell>
          <cell r="C1791">
            <v>11</v>
          </cell>
        </row>
        <row r="1792">
          <cell r="B1792">
            <v>40141</v>
          </cell>
          <cell r="C1792">
            <v>11</v>
          </cell>
        </row>
        <row r="1793">
          <cell r="B1793">
            <v>40142</v>
          </cell>
          <cell r="C1793">
            <v>11</v>
          </cell>
        </row>
        <row r="1794">
          <cell r="B1794">
            <v>40143</v>
          </cell>
          <cell r="C1794">
            <v>11</v>
          </cell>
        </row>
        <row r="1795">
          <cell r="B1795">
            <v>40144</v>
          </cell>
          <cell r="C1795">
            <v>11</v>
          </cell>
        </row>
        <row r="1796">
          <cell r="B1796">
            <v>40145</v>
          </cell>
          <cell r="C1796">
            <v>11</v>
          </cell>
        </row>
        <row r="1797">
          <cell r="B1797">
            <v>40146</v>
          </cell>
          <cell r="C1797">
            <v>11</v>
          </cell>
        </row>
        <row r="1798">
          <cell r="B1798">
            <v>40147</v>
          </cell>
          <cell r="C1798">
            <v>11</v>
          </cell>
        </row>
        <row r="1799">
          <cell r="B1799">
            <v>40148</v>
          </cell>
          <cell r="C1799">
            <v>12</v>
          </cell>
        </row>
        <row r="1800">
          <cell r="B1800">
            <v>40149</v>
          </cell>
          <cell r="C1800">
            <v>12</v>
          </cell>
        </row>
        <row r="1801">
          <cell r="B1801">
            <v>40150</v>
          </cell>
          <cell r="C1801">
            <v>12</v>
          </cell>
        </row>
        <row r="1802">
          <cell r="B1802">
            <v>40151</v>
          </cell>
          <cell r="C1802">
            <v>12</v>
          </cell>
        </row>
        <row r="1803">
          <cell r="B1803">
            <v>40152</v>
          </cell>
          <cell r="C1803">
            <v>12</v>
          </cell>
        </row>
        <row r="1804">
          <cell r="B1804">
            <v>40153</v>
          </cell>
          <cell r="C1804">
            <v>12</v>
          </cell>
        </row>
        <row r="1805">
          <cell r="B1805">
            <v>40154</v>
          </cell>
          <cell r="C1805">
            <v>12</v>
          </cell>
        </row>
        <row r="1806">
          <cell r="B1806">
            <v>40155</v>
          </cell>
          <cell r="C1806">
            <v>12</v>
          </cell>
        </row>
        <row r="1807">
          <cell r="B1807">
            <v>40156</v>
          </cell>
          <cell r="C1807">
            <v>12</v>
          </cell>
        </row>
        <row r="1808">
          <cell r="B1808">
            <v>40157</v>
          </cell>
          <cell r="C1808">
            <v>12</v>
          </cell>
        </row>
        <row r="1809">
          <cell r="B1809">
            <v>40158</v>
          </cell>
          <cell r="C1809">
            <v>12</v>
          </cell>
        </row>
        <row r="1810">
          <cell r="B1810">
            <v>40159</v>
          </cell>
          <cell r="C1810">
            <v>12</v>
          </cell>
        </row>
        <row r="1811">
          <cell r="B1811">
            <v>40160</v>
          </cell>
          <cell r="C1811">
            <v>12</v>
          </cell>
        </row>
        <row r="1812">
          <cell r="B1812">
            <v>40161</v>
          </cell>
          <cell r="C1812">
            <v>12</v>
          </cell>
        </row>
        <row r="1813">
          <cell r="B1813">
            <v>40162</v>
          </cell>
          <cell r="C1813">
            <v>12</v>
          </cell>
        </row>
        <row r="1814">
          <cell r="B1814">
            <v>40163</v>
          </cell>
          <cell r="C1814">
            <v>12</v>
          </cell>
        </row>
        <row r="1815">
          <cell r="B1815">
            <v>40164</v>
          </cell>
          <cell r="C1815">
            <v>12</v>
          </cell>
        </row>
        <row r="1816">
          <cell r="B1816">
            <v>40165</v>
          </cell>
          <cell r="C1816">
            <v>12</v>
          </cell>
        </row>
        <row r="1817">
          <cell r="B1817">
            <v>40166</v>
          </cell>
          <cell r="C1817">
            <v>12</v>
          </cell>
        </row>
        <row r="1818">
          <cell r="B1818">
            <v>40167</v>
          </cell>
          <cell r="C1818">
            <v>12</v>
          </cell>
        </row>
        <row r="1819">
          <cell r="B1819">
            <v>40168</v>
          </cell>
          <cell r="C1819">
            <v>12</v>
          </cell>
        </row>
        <row r="1820">
          <cell r="B1820">
            <v>40169</v>
          </cell>
          <cell r="C1820">
            <v>12</v>
          </cell>
        </row>
        <row r="1821">
          <cell r="B1821">
            <v>40170</v>
          </cell>
          <cell r="C1821">
            <v>12</v>
          </cell>
        </row>
        <row r="1822">
          <cell r="B1822">
            <v>40171</v>
          </cell>
          <cell r="C1822">
            <v>12</v>
          </cell>
        </row>
        <row r="1823">
          <cell r="B1823">
            <v>40172</v>
          </cell>
          <cell r="C1823">
            <v>12</v>
          </cell>
        </row>
        <row r="1824">
          <cell r="B1824">
            <v>40173</v>
          </cell>
          <cell r="C1824">
            <v>12</v>
          </cell>
        </row>
        <row r="1825">
          <cell r="B1825">
            <v>40174</v>
          </cell>
          <cell r="C1825">
            <v>12</v>
          </cell>
        </row>
        <row r="1826">
          <cell r="B1826">
            <v>40175</v>
          </cell>
          <cell r="C1826">
            <v>12</v>
          </cell>
        </row>
        <row r="1827">
          <cell r="B1827">
            <v>40176</v>
          </cell>
          <cell r="C1827">
            <v>12</v>
          </cell>
        </row>
        <row r="1828">
          <cell r="B1828">
            <v>40177</v>
          </cell>
          <cell r="C1828">
            <v>12</v>
          </cell>
        </row>
        <row r="1829">
          <cell r="B1829">
            <v>40178</v>
          </cell>
          <cell r="C1829">
            <v>12</v>
          </cell>
        </row>
        <row r="1830">
          <cell r="B1830">
            <v>40179</v>
          </cell>
          <cell r="C1830">
            <v>1</v>
          </cell>
        </row>
        <row r="1831">
          <cell r="B1831">
            <v>40180</v>
          </cell>
          <cell r="C1831">
            <v>1</v>
          </cell>
        </row>
        <row r="1832">
          <cell r="B1832">
            <v>40181</v>
          </cell>
          <cell r="C1832">
            <v>1</v>
          </cell>
        </row>
        <row r="1833">
          <cell r="B1833">
            <v>40182</v>
          </cell>
          <cell r="C1833">
            <v>1</v>
          </cell>
        </row>
        <row r="1834">
          <cell r="B1834">
            <v>40183</v>
          </cell>
          <cell r="C1834">
            <v>1</v>
          </cell>
        </row>
        <row r="1835">
          <cell r="B1835">
            <v>40184</v>
          </cell>
          <cell r="C1835">
            <v>1</v>
          </cell>
        </row>
        <row r="1836">
          <cell r="B1836">
            <v>40185</v>
          </cell>
          <cell r="C1836">
            <v>1</v>
          </cell>
        </row>
        <row r="1837">
          <cell r="B1837">
            <v>40186</v>
          </cell>
          <cell r="C1837">
            <v>1</v>
          </cell>
        </row>
        <row r="1838">
          <cell r="B1838">
            <v>40187</v>
          </cell>
          <cell r="C1838">
            <v>1</v>
          </cell>
        </row>
        <row r="1839">
          <cell r="B1839">
            <v>40188</v>
          </cell>
          <cell r="C1839">
            <v>1</v>
          </cell>
        </row>
        <row r="1840">
          <cell r="B1840">
            <v>40189</v>
          </cell>
          <cell r="C1840">
            <v>1</v>
          </cell>
        </row>
        <row r="1841">
          <cell r="B1841">
            <v>40190</v>
          </cell>
          <cell r="C1841">
            <v>1</v>
          </cell>
        </row>
        <row r="1842">
          <cell r="B1842">
            <v>40191</v>
          </cell>
          <cell r="C1842">
            <v>1</v>
          </cell>
        </row>
        <row r="1843">
          <cell r="B1843">
            <v>40192</v>
          </cell>
          <cell r="C1843">
            <v>1</v>
          </cell>
        </row>
        <row r="1844">
          <cell r="B1844">
            <v>40193</v>
          </cell>
          <cell r="C1844">
            <v>1</v>
          </cell>
        </row>
        <row r="1845">
          <cell r="B1845">
            <v>40194</v>
          </cell>
          <cell r="C1845">
            <v>1</v>
          </cell>
        </row>
        <row r="1846">
          <cell r="B1846">
            <v>40195</v>
          </cell>
          <cell r="C1846">
            <v>1</v>
          </cell>
        </row>
        <row r="1847">
          <cell r="B1847">
            <v>40196</v>
          </cell>
          <cell r="C1847">
            <v>1</v>
          </cell>
        </row>
        <row r="1848">
          <cell r="B1848">
            <v>40197</v>
          </cell>
          <cell r="C1848">
            <v>1</v>
          </cell>
        </row>
        <row r="1849">
          <cell r="B1849">
            <v>40198</v>
          </cell>
          <cell r="C1849">
            <v>1</v>
          </cell>
        </row>
        <row r="1850">
          <cell r="B1850">
            <v>40199</v>
          </cell>
          <cell r="C1850">
            <v>1</v>
          </cell>
        </row>
        <row r="1851">
          <cell r="B1851">
            <v>40200</v>
          </cell>
          <cell r="C1851">
            <v>1</v>
          </cell>
        </row>
        <row r="1852">
          <cell r="B1852">
            <v>40201</v>
          </cell>
          <cell r="C1852">
            <v>1</v>
          </cell>
        </row>
        <row r="1853">
          <cell r="B1853">
            <v>40202</v>
          </cell>
          <cell r="C1853">
            <v>1</v>
          </cell>
        </row>
        <row r="1854">
          <cell r="B1854">
            <v>40203</v>
          </cell>
          <cell r="C1854">
            <v>1</v>
          </cell>
        </row>
        <row r="1855">
          <cell r="B1855">
            <v>40204</v>
          </cell>
          <cell r="C1855">
            <v>1</v>
          </cell>
        </row>
        <row r="1856">
          <cell r="B1856">
            <v>40205</v>
          </cell>
          <cell r="C1856">
            <v>1</v>
          </cell>
        </row>
        <row r="1857">
          <cell r="B1857">
            <v>40206</v>
          </cell>
          <cell r="C1857">
            <v>1</v>
          </cell>
        </row>
        <row r="1858">
          <cell r="B1858">
            <v>40207</v>
          </cell>
          <cell r="C1858">
            <v>1</v>
          </cell>
        </row>
        <row r="1859">
          <cell r="B1859">
            <v>40208</v>
          </cell>
          <cell r="C1859">
            <v>1</v>
          </cell>
        </row>
        <row r="1860">
          <cell r="B1860">
            <v>40209</v>
          </cell>
          <cell r="C1860">
            <v>1</v>
          </cell>
        </row>
        <row r="1861">
          <cell r="B1861">
            <v>40210</v>
          </cell>
          <cell r="C1861">
            <v>2</v>
          </cell>
        </row>
        <row r="1862">
          <cell r="B1862">
            <v>40211</v>
          </cell>
          <cell r="C1862">
            <v>2</v>
          </cell>
        </row>
        <row r="1863">
          <cell r="B1863">
            <v>40212</v>
          </cell>
          <cell r="C1863">
            <v>2</v>
          </cell>
        </row>
        <row r="1864">
          <cell r="B1864">
            <v>40213</v>
          </cell>
          <cell r="C1864">
            <v>2</v>
          </cell>
        </row>
        <row r="1865">
          <cell r="B1865">
            <v>40214</v>
          </cell>
          <cell r="C1865">
            <v>2</v>
          </cell>
        </row>
        <row r="1866">
          <cell r="B1866">
            <v>40215</v>
          </cell>
          <cell r="C1866">
            <v>2</v>
          </cell>
        </row>
        <row r="1867">
          <cell r="B1867">
            <v>40216</v>
          </cell>
          <cell r="C1867">
            <v>2</v>
          </cell>
        </row>
        <row r="1868">
          <cell r="B1868">
            <v>40217</v>
          </cell>
          <cell r="C1868">
            <v>2</v>
          </cell>
        </row>
        <row r="1869">
          <cell r="B1869">
            <v>40218</v>
          </cell>
          <cell r="C1869">
            <v>2</v>
          </cell>
        </row>
        <row r="1870">
          <cell r="B1870">
            <v>40219</v>
          </cell>
          <cell r="C1870">
            <v>2</v>
          </cell>
        </row>
        <row r="1871">
          <cell r="B1871">
            <v>40220</v>
          </cell>
          <cell r="C1871">
            <v>2</v>
          </cell>
        </row>
        <row r="1872">
          <cell r="B1872">
            <v>40221</v>
          </cell>
          <cell r="C1872">
            <v>2</v>
          </cell>
        </row>
        <row r="1873">
          <cell r="B1873">
            <v>40222</v>
          </cell>
          <cell r="C1873">
            <v>2</v>
          </cell>
        </row>
        <row r="1874">
          <cell r="B1874">
            <v>40223</v>
          </cell>
          <cell r="C1874">
            <v>2</v>
          </cell>
        </row>
        <row r="1875">
          <cell r="B1875">
            <v>40224</v>
          </cell>
          <cell r="C1875">
            <v>2</v>
          </cell>
        </row>
        <row r="1876">
          <cell r="B1876">
            <v>40225</v>
          </cell>
          <cell r="C1876">
            <v>2</v>
          </cell>
        </row>
        <row r="1877">
          <cell r="B1877">
            <v>40226</v>
          </cell>
          <cell r="C1877">
            <v>2</v>
          </cell>
        </row>
        <row r="1878">
          <cell r="B1878">
            <v>40227</v>
          </cell>
          <cell r="C1878">
            <v>2</v>
          </cell>
        </row>
        <row r="1879">
          <cell r="B1879">
            <v>40228</v>
          </cell>
          <cell r="C1879">
            <v>2</v>
          </cell>
        </row>
        <row r="1880">
          <cell r="B1880">
            <v>40229</v>
          </cell>
          <cell r="C1880">
            <v>2</v>
          </cell>
        </row>
        <row r="1881">
          <cell r="B1881">
            <v>40230</v>
          </cell>
          <cell r="C1881">
            <v>2</v>
          </cell>
        </row>
        <row r="1882">
          <cell r="B1882">
            <v>40231</v>
          </cell>
          <cell r="C1882">
            <v>2</v>
          </cell>
        </row>
        <row r="1883">
          <cell r="B1883">
            <v>40232</v>
          </cell>
          <cell r="C1883">
            <v>2</v>
          </cell>
        </row>
        <row r="1884">
          <cell r="B1884">
            <v>40233</v>
          </cell>
          <cell r="C1884">
            <v>2</v>
          </cell>
        </row>
        <row r="1885">
          <cell r="B1885">
            <v>40234</v>
          </cell>
          <cell r="C1885">
            <v>2</v>
          </cell>
        </row>
        <row r="1886">
          <cell r="B1886">
            <v>40235</v>
          </cell>
          <cell r="C1886">
            <v>2</v>
          </cell>
        </row>
        <row r="1887">
          <cell r="B1887">
            <v>40236</v>
          </cell>
          <cell r="C1887">
            <v>2</v>
          </cell>
        </row>
        <row r="1888">
          <cell r="B1888">
            <v>40237</v>
          </cell>
          <cell r="C1888">
            <v>2</v>
          </cell>
        </row>
        <row r="1889">
          <cell r="B1889">
            <v>40238</v>
          </cell>
          <cell r="C1889">
            <v>3</v>
          </cell>
        </row>
        <row r="1890">
          <cell r="B1890">
            <v>40239</v>
          </cell>
          <cell r="C1890">
            <v>3</v>
          </cell>
        </row>
        <row r="1891">
          <cell r="B1891">
            <v>40240</v>
          </cell>
          <cell r="C1891">
            <v>3</v>
          </cell>
        </row>
        <row r="1892">
          <cell r="B1892">
            <v>40241</v>
          </cell>
          <cell r="C1892">
            <v>3</v>
          </cell>
        </row>
        <row r="1893">
          <cell r="B1893">
            <v>40242</v>
          </cell>
          <cell r="C1893">
            <v>3</v>
          </cell>
        </row>
        <row r="1894">
          <cell r="B1894">
            <v>40243</v>
          </cell>
          <cell r="C1894">
            <v>3</v>
          </cell>
        </row>
        <row r="1895">
          <cell r="B1895">
            <v>40244</v>
          </cell>
          <cell r="C1895">
            <v>3</v>
          </cell>
        </row>
        <row r="1896">
          <cell r="B1896">
            <v>40245</v>
          </cell>
          <cell r="C1896">
            <v>3</v>
          </cell>
        </row>
        <row r="1897">
          <cell r="B1897">
            <v>40246</v>
          </cell>
          <cell r="C1897">
            <v>3</v>
          </cell>
        </row>
        <row r="1898">
          <cell r="B1898">
            <v>40247</v>
          </cell>
          <cell r="C1898">
            <v>3</v>
          </cell>
        </row>
        <row r="1899">
          <cell r="B1899">
            <v>40248</v>
          </cell>
          <cell r="C1899">
            <v>3</v>
          </cell>
        </row>
        <row r="1900">
          <cell r="B1900">
            <v>40249</v>
          </cell>
          <cell r="C1900">
            <v>3</v>
          </cell>
        </row>
        <row r="1901">
          <cell r="B1901">
            <v>40250</v>
          </cell>
          <cell r="C1901">
            <v>3</v>
          </cell>
        </row>
        <row r="1902">
          <cell r="B1902">
            <v>40251</v>
          </cell>
          <cell r="C1902">
            <v>3</v>
          </cell>
        </row>
        <row r="1903">
          <cell r="B1903">
            <v>40252</v>
          </cell>
          <cell r="C1903">
            <v>3</v>
          </cell>
        </row>
        <row r="1904">
          <cell r="B1904">
            <v>40253</v>
          </cell>
          <cell r="C1904">
            <v>3</v>
          </cell>
        </row>
        <row r="1905">
          <cell r="B1905">
            <v>40254</v>
          </cell>
          <cell r="C1905">
            <v>3</v>
          </cell>
        </row>
        <row r="1906">
          <cell r="B1906">
            <v>40255</v>
          </cell>
          <cell r="C1906">
            <v>3</v>
          </cell>
        </row>
        <row r="1907">
          <cell r="B1907">
            <v>40256</v>
          </cell>
          <cell r="C1907">
            <v>3</v>
          </cell>
        </row>
        <row r="1908">
          <cell r="B1908">
            <v>40257</v>
          </cell>
          <cell r="C1908">
            <v>3</v>
          </cell>
        </row>
        <row r="1909">
          <cell r="B1909">
            <v>40258</v>
          </cell>
          <cell r="C1909">
            <v>3</v>
          </cell>
        </row>
        <row r="1910">
          <cell r="B1910">
            <v>40259</v>
          </cell>
          <cell r="C1910">
            <v>3</v>
          </cell>
        </row>
        <row r="1911">
          <cell r="B1911">
            <v>40260</v>
          </cell>
          <cell r="C1911">
            <v>3</v>
          </cell>
        </row>
        <row r="1912">
          <cell r="B1912">
            <v>40261</v>
          </cell>
          <cell r="C1912">
            <v>3</v>
          </cell>
        </row>
        <row r="1913">
          <cell r="B1913">
            <v>40262</v>
          </cell>
          <cell r="C1913">
            <v>3</v>
          </cell>
        </row>
        <row r="1914">
          <cell r="B1914">
            <v>40263</v>
          </cell>
          <cell r="C1914">
            <v>3</v>
          </cell>
        </row>
        <row r="1915">
          <cell r="B1915">
            <v>40264</v>
          </cell>
          <cell r="C1915">
            <v>3</v>
          </cell>
        </row>
        <row r="1916">
          <cell r="B1916">
            <v>40265</v>
          </cell>
          <cell r="C1916">
            <v>3</v>
          </cell>
        </row>
        <row r="1917">
          <cell r="B1917">
            <v>40266</v>
          </cell>
          <cell r="C1917">
            <v>3</v>
          </cell>
        </row>
        <row r="1918">
          <cell r="B1918">
            <v>40267</v>
          </cell>
          <cell r="C1918">
            <v>3</v>
          </cell>
        </row>
        <row r="1919">
          <cell r="B1919">
            <v>40268</v>
          </cell>
          <cell r="C1919">
            <v>3</v>
          </cell>
        </row>
        <row r="1920">
          <cell r="B1920">
            <v>40269</v>
          </cell>
          <cell r="C1920">
            <v>4</v>
          </cell>
        </row>
        <row r="1921">
          <cell r="B1921">
            <v>40270</v>
          </cell>
          <cell r="C1921">
            <v>4</v>
          </cell>
        </row>
        <row r="1922">
          <cell r="B1922">
            <v>40271</v>
          </cell>
          <cell r="C1922">
            <v>4</v>
          </cell>
        </row>
        <row r="1923">
          <cell r="B1923">
            <v>40272</v>
          </cell>
          <cell r="C1923">
            <v>4</v>
          </cell>
        </row>
        <row r="1924">
          <cell r="B1924">
            <v>40273</v>
          </cell>
          <cell r="C1924">
            <v>4</v>
          </cell>
        </row>
        <row r="1925">
          <cell r="B1925">
            <v>40274</v>
          </cell>
          <cell r="C1925">
            <v>4</v>
          </cell>
        </row>
        <row r="1926">
          <cell r="B1926">
            <v>40275</v>
          </cell>
          <cell r="C1926">
            <v>4</v>
          </cell>
        </row>
        <row r="1927">
          <cell r="B1927">
            <v>40276</v>
          </cell>
          <cell r="C1927">
            <v>4</v>
          </cell>
        </row>
        <row r="1928">
          <cell r="B1928">
            <v>40277</v>
          </cell>
          <cell r="C1928">
            <v>4</v>
          </cell>
        </row>
        <row r="1929">
          <cell r="B1929">
            <v>40278</v>
          </cell>
          <cell r="C1929">
            <v>4</v>
          </cell>
        </row>
        <row r="1930">
          <cell r="B1930">
            <v>40279</v>
          </cell>
          <cell r="C1930">
            <v>4</v>
          </cell>
        </row>
        <row r="1931">
          <cell r="B1931">
            <v>40280</v>
          </cell>
          <cell r="C1931">
            <v>4</v>
          </cell>
        </row>
        <row r="1932">
          <cell r="B1932">
            <v>40281</v>
          </cell>
          <cell r="C1932">
            <v>4</v>
          </cell>
        </row>
        <row r="1933">
          <cell r="B1933">
            <v>40282</v>
          </cell>
          <cell r="C1933">
            <v>4</v>
          </cell>
        </row>
        <row r="1934">
          <cell r="B1934">
            <v>40283</v>
          </cell>
          <cell r="C1934">
            <v>4</v>
          </cell>
        </row>
        <row r="1935">
          <cell r="B1935">
            <v>40284</v>
          </cell>
          <cell r="C1935">
            <v>4</v>
          </cell>
        </row>
        <row r="1936">
          <cell r="B1936">
            <v>40285</v>
          </cell>
          <cell r="C1936">
            <v>4</v>
          </cell>
        </row>
        <row r="1937">
          <cell r="B1937">
            <v>40286</v>
          </cell>
          <cell r="C1937">
            <v>4</v>
          </cell>
        </row>
        <row r="1938">
          <cell r="B1938">
            <v>40287</v>
          </cell>
          <cell r="C1938">
            <v>4</v>
          </cell>
        </row>
        <row r="1939">
          <cell r="B1939">
            <v>40288</v>
          </cell>
          <cell r="C1939">
            <v>4</v>
          </cell>
        </row>
        <row r="1940">
          <cell r="B1940">
            <v>40289</v>
          </cell>
          <cell r="C1940">
            <v>4</v>
          </cell>
        </row>
        <row r="1941">
          <cell r="B1941">
            <v>40290</v>
          </cell>
          <cell r="C1941">
            <v>4</v>
          </cell>
        </row>
        <row r="1942">
          <cell r="B1942">
            <v>40291</v>
          </cell>
          <cell r="C1942">
            <v>4</v>
          </cell>
        </row>
        <row r="1943">
          <cell r="B1943">
            <v>40292</v>
          </cell>
          <cell r="C1943">
            <v>4</v>
          </cell>
        </row>
        <row r="1944">
          <cell r="B1944">
            <v>40293</v>
          </cell>
          <cell r="C1944">
            <v>4</v>
          </cell>
        </row>
        <row r="1945">
          <cell r="B1945">
            <v>40294</v>
          </cell>
          <cell r="C1945">
            <v>4</v>
          </cell>
        </row>
        <row r="1946">
          <cell r="B1946">
            <v>40295</v>
          </cell>
          <cell r="C1946">
            <v>4</v>
          </cell>
        </row>
        <row r="1947">
          <cell r="B1947">
            <v>40296</v>
          </cell>
          <cell r="C1947">
            <v>4</v>
          </cell>
        </row>
        <row r="1948">
          <cell r="B1948">
            <v>40297</v>
          </cell>
          <cell r="C1948">
            <v>4</v>
          </cell>
        </row>
        <row r="1949">
          <cell r="B1949">
            <v>40298</v>
          </cell>
          <cell r="C1949">
            <v>4</v>
          </cell>
        </row>
        <row r="1950">
          <cell r="B1950">
            <v>40299</v>
          </cell>
          <cell r="C1950">
            <v>5</v>
          </cell>
        </row>
        <row r="1951">
          <cell r="B1951">
            <v>40300</v>
          </cell>
          <cell r="C1951">
            <v>5</v>
          </cell>
        </row>
        <row r="1952">
          <cell r="B1952">
            <v>40301</v>
          </cell>
          <cell r="C1952">
            <v>5</v>
          </cell>
        </row>
        <row r="1953">
          <cell r="B1953">
            <v>40302</v>
          </cell>
          <cell r="C1953">
            <v>5</v>
          </cell>
        </row>
        <row r="1954">
          <cell r="B1954">
            <v>40303</v>
          </cell>
          <cell r="C1954">
            <v>5</v>
          </cell>
        </row>
        <row r="1955">
          <cell r="B1955">
            <v>40304</v>
          </cell>
          <cell r="C1955">
            <v>5</v>
          </cell>
        </row>
        <row r="1956">
          <cell r="B1956">
            <v>40305</v>
          </cell>
          <cell r="C1956">
            <v>5</v>
          </cell>
        </row>
        <row r="1957">
          <cell r="B1957">
            <v>40306</v>
          </cell>
          <cell r="C1957">
            <v>5</v>
          </cell>
        </row>
        <row r="1958">
          <cell r="B1958">
            <v>40307</v>
          </cell>
          <cell r="C1958">
            <v>5</v>
          </cell>
        </row>
        <row r="1959">
          <cell r="B1959">
            <v>40308</v>
          </cell>
          <cell r="C1959">
            <v>5</v>
          </cell>
        </row>
        <row r="1960">
          <cell r="B1960">
            <v>40309</v>
          </cell>
          <cell r="C1960">
            <v>5</v>
          </cell>
        </row>
        <row r="1961">
          <cell r="B1961">
            <v>40310</v>
          </cell>
          <cell r="C1961">
            <v>5</v>
          </cell>
        </row>
        <row r="1962">
          <cell r="B1962">
            <v>40311</v>
          </cell>
          <cell r="C1962">
            <v>5</v>
          </cell>
        </row>
        <row r="1963">
          <cell r="B1963">
            <v>40312</v>
          </cell>
          <cell r="C1963">
            <v>5</v>
          </cell>
        </row>
        <row r="1964">
          <cell r="B1964">
            <v>40313</v>
          </cell>
          <cell r="C1964">
            <v>5</v>
          </cell>
        </row>
        <row r="1965">
          <cell r="B1965">
            <v>40314</v>
          </cell>
          <cell r="C1965">
            <v>5</v>
          </cell>
        </row>
        <row r="1966">
          <cell r="B1966">
            <v>40315</v>
          </cell>
          <cell r="C1966">
            <v>5</v>
          </cell>
        </row>
        <row r="1967">
          <cell r="B1967">
            <v>40316</v>
          </cell>
          <cell r="C1967">
            <v>5</v>
          </cell>
        </row>
        <row r="1968">
          <cell r="B1968">
            <v>40317</v>
          </cell>
          <cell r="C1968">
            <v>5</v>
          </cell>
        </row>
        <row r="1969">
          <cell r="B1969">
            <v>40318</v>
          </cell>
          <cell r="C1969">
            <v>5</v>
          </cell>
        </row>
        <row r="1970">
          <cell r="B1970">
            <v>40319</v>
          </cell>
          <cell r="C1970">
            <v>5</v>
          </cell>
        </row>
        <row r="1971">
          <cell r="B1971">
            <v>40320</v>
          </cell>
          <cell r="C1971">
            <v>5</v>
          </cell>
        </row>
        <row r="1972">
          <cell r="B1972">
            <v>40321</v>
          </cell>
          <cell r="C1972">
            <v>5</v>
          </cell>
        </row>
        <row r="1973">
          <cell r="B1973">
            <v>40322</v>
          </cell>
          <cell r="C1973">
            <v>5</v>
          </cell>
        </row>
        <row r="1974">
          <cell r="B1974">
            <v>40323</v>
          </cell>
          <cell r="C1974">
            <v>5</v>
          </cell>
        </row>
        <row r="1975">
          <cell r="B1975">
            <v>40324</v>
          </cell>
          <cell r="C1975">
            <v>5</v>
          </cell>
        </row>
        <row r="1976">
          <cell r="B1976">
            <v>40325</v>
          </cell>
          <cell r="C1976">
            <v>5</v>
          </cell>
        </row>
        <row r="1977">
          <cell r="B1977">
            <v>40326</v>
          </cell>
          <cell r="C1977">
            <v>5</v>
          </cell>
        </row>
        <row r="1978">
          <cell r="B1978">
            <v>40327</v>
          </cell>
          <cell r="C1978">
            <v>5</v>
          </cell>
        </row>
        <row r="1979">
          <cell r="B1979">
            <v>40328</v>
          </cell>
          <cell r="C1979">
            <v>5</v>
          </cell>
        </row>
        <row r="1980">
          <cell r="B1980">
            <v>40329</v>
          </cell>
          <cell r="C1980">
            <v>5</v>
          </cell>
        </row>
        <row r="1981">
          <cell r="B1981">
            <v>40330</v>
          </cell>
          <cell r="C1981">
            <v>6</v>
          </cell>
        </row>
        <row r="1982">
          <cell r="B1982">
            <v>40331</v>
          </cell>
          <cell r="C1982">
            <v>6</v>
          </cell>
        </row>
        <row r="1983">
          <cell r="B1983">
            <v>40332</v>
          </cell>
          <cell r="C1983">
            <v>6</v>
          </cell>
        </row>
        <row r="1984">
          <cell r="B1984">
            <v>40333</v>
          </cell>
          <cell r="C1984">
            <v>6</v>
          </cell>
        </row>
        <row r="1985">
          <cell r="B1985">
            <v>40334</v>
          </cell>
          <cell r="C1985">
            <v>6</v>
          </cell>
        </row>
        <row r="1986">
          <cell r="B1986">
            <v>40335</v>
          </cell>
          <cell r="C1986">
            <v>6</v>
          </cell>
        </row>
        <row r="1987">
          <cell r="B1987">
            <v>40336</v>
          </cell>
          <cell r="C1987">
            <v>6</v>
          </cell>
        </row>
        <row r="1988">
          <cell r="B1988">
            <v>40337</v>
          </cell>
          <cell r="C1988">
            <v>6</v>
          </cell>
        </row>
        <row r="1989">
          <cell r="B1989">
            <v>40338</v>
          </cell>
          <cell r="C1989">
            <v>6</v>
          </cell>
        </row>
        <row r="1990">
          <cell r="B1990">
            <v>40339</v>
          </cell>
          <cell r="C1990">
            <v>6</v>
          </cell>
        </row>
        <row r="1991">
          <cell r="B1991">
            <v>40340</v>
          </cell>
          <cell r="C1991">
            <v>6</v>
          </cell>
        </row>
        <row r="1992">
          <cell r="B1992">
            <v>40341</v>
          </cell>
          <cell r="C1992">
            <v>6</v>
          </cell>
        </row>
        <row r="1993">
          <cell r="B1993">
            <v>40342</v>
          </cell>
          <cell r="C1993">
            <v>6</v>
          </cell>
        </row>
        <row r="1994">
          <cell r="B1994">
            <v>40343</v>
          </cell>
          <cell r="C1994">
            <v>6</v>
          </cell>
        </row>
        <row r="1995">
          <cell r="B1995">
            <v>40344</v>
          </cell>
          <cell r="C1995">
            <v>6</v>
          </cell>
        </row>
        <row r="1996">
          <cell r="B1996">
            <v>40345</v>
          </cell>
          <cell r="C1996">
            <v>6</v>
          </cell>
        </row>
        <row r="1997">
          <cell r="B1997">
            <v>40346</v>
          </cell>
          <cell r="C1997">
            <v>6</v>
          </cell>
        </row>
        <row r="1998">
          <cell r="B1998">
            <v>40347</v>
          </cell>
          <cell r="C1998">
            <v>6</v>
          </cell>
        </row>
        <row r="1999">
          <cell r="B1999">
            <v>40348</v>
          </cell>
          <cell r="C1999">
            <v>6</v>
          </cell>
        </row>
        <row r="2000">
          <cell r="B2000">
            <v>40349</v>
          </cell>
          <cell r="C2000">
            <v>6</v>
          </cell>
        </row>
        <row r="2001">
          <cell r="B2001">
            <v>40350</v>
          </cell>
          <cell r="C2001">
            <v>6</v>
          </cell>
        </row>
        <row r="2002">
          <cell r="B2002">
            <v>40351</v>
          </cell>
          <cell r="C2002">
            <v>6</v>
          </cell>
        </row>
        <row r="2003">
          <cell r="B2003">
            <v>40352</v>
          </cell>
          <cell r="C2003">
            <v>6</v>
          </cell>
        </row>
        <row r="2004">
          <cell r="B2004">
            <v>40353</v>
          </cell>
          <cell r="C2004">
            <v>6</v>
          </cell>
        </row>
        <row r="2005">
          <cell r="B2005">
            <v>40354</v>
          </cell>
          <cell r="C2005">
            <v>6</v>
          </cell>
        </row>
        <row r="2006">
          <cell r="B2006">
            <v>40355</v>
          </cell>
          <cell r="C2006">
            <v>6</v>
          </cell>
        </row>
        <row r="2007">
          <cell r="B2007">
            <v>40356</v>
          </cell>
          <cell r="C2007">
            <v>6</v>
          </cell>
        </row>
        <row r="2008">
          <cell r="B2008">
            <v>40357</v>
          </cell>
          <cell r="C2008">
            <v>6</v>
          </cell>
        </row>
        <row r="2009">
          <cell r="B2009">
            <v>40358</v>
          </cell>
          <cell r="C2009">
            <v>6</v>
          </cell>
        </row>
        <row r="2010">
          <cell r="B2010">
            <v>40359</v>
          </cell>
          <cell r="C2010">
            <v>6</v>
          </cell>
        </row>
        <row r="2011">
          <cell r="B2011">
            <v>40360</v>
          </cell>
          <cell r="C2011">
            <v>7</v>
          </cell>
        </row>
        <row r="2012">
          <cell r="B2012">
            <v>40361</v>
          </cell>
          <cell r="C2012">
            <v>7</v>
          </cell>
        </row>
        <row r="2013">
          <cell r="B2013">
            <v>40362</v>
          </cell>
          <cell r="C2013">
            <v>7</v>
          </cell>
        </row>
        <row r="2014">
          <cell r="B2014">
            <v>40363</v>
          </cell>
          <cell r="C2014">
            <v>7</v>
          </cell>
        </row>
        <row r="2015">
          <cell r="B2015">
            <v>40364</v>
          </cell>
          <cell r="C2015">
            <v>7</v>
          </cell>
        </row>
        <row r="2016">
          <cell r="B2016">
            <v>40365</v>
          </cell>
          <cell r="C2016">
            <v>7</v>
          </cell>
        </row>
        <row r="2017">
          <cell r="B2017">
            <v>40366</v>
          </cell>
          <cell r="C2017">
            <v>7</v>
          </cell>
        </row>
        <row r="2018">
          <cell r="B2018">
            <v>40367</v>
          </cell>
          <cell r="C2018">
            <v>7</v>
          </cell>
        </row>
        <row r="2019">
          <cell r="B2019">
            <v>40368</v>
          </cell>
          <cell r="C2019">
            <v>7</v>
          </cell>
        </row>
        <row r="2020">
          <cell r="B2020">
            <v>40369</v>
          </cell>
          <cell r="C2020">
            <v>7</v>
          </cell>
        </row>
        <row r="2021">
          <cell r="B2021">
            <v>40370</v>
          </cell>
          <cell r="C2021">
            <v>7</v>
          </cell>
        </row>
        <row r="2022">
          <cell r="B2022">
            <v>40371</v>
          </cell>
          <cell r="C2022">
            <v>7</v>
          </cell>
        </row>
        <row r="2023">
          <cell r="B2023">
            <v>40372</v>
          </cell>
          <cell r="C2023">
            <v>7</v>
          </cell>
        </row>
        <row r="2024">
          <cell r="B2024">
            <v>40373</v>
          </cell>
          <cell r="C2024">
            <v>7</v>
          </cell>
        </row>
        <row r="2025">
          <cell r="B2025">
            <v>40374</v>
          </cell>
          <cell r="C2025">
            <v>7</v>
          </cell>
        </row>
        <row r="2026">
          <cell r="B2026">
            <v>40375</v>
          </cell>
          <cell r="C2026">
            <v>7</v>
          </cell>
        </row>
        <row r="2027">
          <cell r="B2027">
            <v>40376</v>
          </cell>
          <cell r="C2027">
            <v>7</v>
          </cell>
        </row>
        <row r="2028">
          <cell r="B2028">
            <v>40377</v>
          </cell>
          <cell r="C2028">
            <v>7</v>
          </cell>
        </row>
        <row r="2029">
          <cell r="B2029">
            <v>40378</v>
          </cell>
          <cell r="C2029">
            <v>7</v>
          </cell>
        </row>
        <row r="2030">
          <cell r="B2030">
            <v>40379</v>
          </cell>
          <cell r="C2030">
            <v>7</v>
          </cell>
        </row>
        <row r="2031">
          <cell r="B2031">
            <v>40380</v>
          </cell>
          <cell r="C2031">
            <v>7</v>
          </cell>
        </row>
        <row r="2032">
          <cell r="B2032">
            <v>40381</v>
          </cell>
          <cell r="C2032">
            <v>7</v>
          </cell>
        </row>
        <row r="2033">
          <cell r="B2033">
            <v>40382</v>
          </cell>
          <cell r="C2033">
            <v>7</v>
          </cell>
        </row>
        <row r="2034">
          <cell r="B2034">
            <v>40383</v>
          </cell>
          <cell r="C2034">
            <v>7</v>
          </cell>
        </row>
        <row r="2035">
          <cell r="B2035">
            <v>40384</v>
          </cell>
          <cell r="C2035">
            <v>7</v>
          </cell>
        </row>
        <row r="2036">
          <cell r="B2036">
            <v>40385</v>
          </cell>
          <cell r="C2036">
            <v>7</v>
          </cell>
        </row>
        <row r="2037">
          <cell r="B2037">
            <v>40386</v>
          </cell>
          <cell r="C2037">
            <v>7</v>
          </cell>
        </row>
        <row r="2038">
          <cell r="B2038">
            <v>40387</v>
          </cell>
          <cell r="C2038">
            <v>7</v>
          </cell>
        </row>
        <row r="2039">
          <cell r="B2039">
            <v>40388</v>
          </cell>
          <cell r="C2039">
            <v>7</v>
          </cell>
        </row>
        <row r="2040">
          <cell r="B2040">
            <v>40389</v>
          </cell>
          <cell r="C2040">
            <v>7</v>
          </cell>
        </row>
        <row r="2041">
          <cell r="B2041">
            <v>40390</v>
          </cell>
          <cell r="C2041">
            <v>7</v>
          </cell>
        </row>
        <row r="2042">
          <cell r="B2042">
            <v>40391</v>
          </cell>
          <cell r="C2042">
            <v>8</v>
          </cell>
        </row>
        <row r="2043">
          <cell r="B2043">
            <v>40392</v>
          </cell>
          <cell r="C2043">
            <v>8</v>
          </cell>
        </row>
        <row r="2044">
          <cell r="B2044">
            <v>40393</v>
          </cell>
          <cell r="C2044">
            <v>8</v>
          </cell>
        </row>
        <row r="2045">
          <cell r="B2045">
            <v>40394</v>
          </cell>
          <cell r="C2045">
            <v>8</v>
          </cell>
        </row>
        <row r="2046">
          <cell r="B2046">
            <v>40395</v>
          </cell>
          <cell r="C2046">
            <v>8</v>
          </cell>
        </row>
        <row r="2047">
          <cell r="B2047">
            <v>40396</v>
          </cell>
          <cell r="C2047">
            <v>8</v>
          </cell>
        </row>
        <row r="2048">
          <cell r="B2048">
            <v>40397</v>
          </cell>
          <cell r="C2048">
            <v>8</v>
          </cell>
        </row>
        <row r="2049">
          <cell r="B2049">
            <v>40398</v>
          </cell>
          <cell r="C2049">
            <v>8</v>
          </cell>
        </row>
        <row r="2050">
          <cell r="B2050">
            <v>40399</v>
          </cell>
          <cell r="C2050">
            <v>8</v>
          </cell>
        </row>
        <row r="2051">
          <cell r="B2051">
            <v>40400</v>
          </cell>
          <cell r="C2051">
            <v>8</v>
          </cell>
        </row>
        <row r="2052">
          <cell r="B2052">
            <v>40401</v>
          </cell>
          <cell r="C2052">
            <v>8</v>
          </cell>
        </row>
        <row r="2053">
          <cell r="B2053">
            <v>40402</v>
          </cell>
          <cell r="C2053">
            <v>8</v>
          </cell>
        </row>
        <row r="2054">
          <cell r="B2054">
            <v>40403</v>
          </cell>
          <cell r="C2054">
            <v>8</v>
          </cell>
        </row>
        <row r="2055">
          <cell r="B2055">
            <v>40404</v>
          </cell>
          <cell r="C2055">
            <v>8</v>
          </cell>
        </row>
        <row r="2056">
          <cell r="B2056">
            <v>40405</v>
          </cell>
          <cell r="C2056">
            <v>8</v>
          </cell>
        </row>
        <row r="2057">
          <cell r="B2057">
            <v>40406</v>
          </cell>
          <cell r="C2057">
            <v>8</v>
          </cell>
        </row>
        <row r="2058">
          <cell r="B2058">
            <v>40407</v>
          </cell>
          <cell r="C2058">
            <v>8</v>
          </cell>
        </row>
        <row r="2059">
          <cell r="B2059">
            <v>40408</v>
          </cell>
          <cell r="C2059">
            <v>8</v>
          </cell>
        </row>
        <row r="2060">
          <cell r="B2060">
            <v>40409</v>
          </cell>
          <cell r="C2060">
            <v>8</v>
          </cell>
        </row>
        <row r="2061">
          <cell r="B2061">
            <v>40410</v>
          </cell>
          <cell r="C2061">
            <v>8</v>
          </cell>
        </row>
        <row r="2062">
          <cell r="B2062">
            <v>40411</v>
          </cell>
          <cell r="C2062">
            <v>8</v>
          </cell>
        </row>
        <row r="2063">
          <cell r="B2063">
            <v>40412</v>
          </cell>
          <cell r="C2063">
            <v>8</v>
          </cell>
        </row>
        <row r="2064">
          <cell r="B2064">
            <v>40413</v>
          </cell>
          <cell r="C2064">
            <v>8</v>
          </cell>
        </row>
        <row r="2065">
          <cell r="B2065">
            <v>40414</v>
          </cell>
          <cell r="C2065">
            <v>8</v>
          </cell>
        </row>
        <row r="2066">
          <cell r="B2066">
            <v>40415</v>
          </cell>
          <cell r="C2066">
            <v>8</v>
          </cell>
        </row>
        <row r="2067">
          <cell r="B2067">
            <v>40416</v>
          </cell>
          <cell r="C2067">
            <v>8</v>
          </cell>
        </row>
        <row r="2068">
          <cell r="B2068">
            <v>40417</v>
          </cell>
          <cell r="C2068">
            <v>8</v>
          </cell>
        </row>
        <row r="2069">
          <cell r="B2069">
            <v>40418</v>
          </cell>
          <cell r="C2069">
            <v>8</v>
          </cell>
        </row>
        <row r="2070">
          <cell r="B2070">
            <v>40419</v>
          </cell>
          <cell r="C2070">
            <v>8</v>
          </cell>
        </row>
        <row r="2071">
          <cell r="B2071">
            <v>40420</v>
          </cell>
          <cell r="C2071">
            <v>8</v>
          </cell>
        </row>
        <row r="2072">
          <cell r="B2072">
            <v>40421</v>
          </cell>
          <cell r="C2072">
            <v>8</v>
          </cell>
        </row>
        <row r="2073">
          <cell r="B2073">
            <v>40422</v>
          </cell>
          <cell r="C2073">
            <v>9</v>
          </cell>
        </row>
        <row r="2074">
          <cell r="B2074">
            <v>40423</v>
          </cell>
          <cell r="C2074">
            <v>9</v>
          </cell>
        </row>
        <row r="2075">
          <cell r="B2075">
            <v>40424</v>
          </cell>
          <cell r="C2075">
            <v>9</v>
          </cell>
        </row>
        <row r="2076">
          <cell r="B2076">
            <v>40425</v>
          </cell>
          <cell r="C2076">
            <v>9</v>
          </cell>
        </row>
        <row r="2077">
          <cell r="B2077">
            <v>40426</v>
          </cell>
          <cell r="C2077">
            <v>9</v>
          </cell>
        </row>
        <row r="2078">
          <cell r="B2078">
            <v>40427</v>
          </cell>
          <cell r="C2078">
            <v>9</v>
          </cell>
        </row>
        <row r="2079">
          <cell r="B2079">
            <v>40428</v>
          </cell>
          <cell r="C2079">
            <v>9</v>
          </cell>
        </row>
        <row r="2080">
          <cell r="B2080">
            <v>40429</v>
          </cell>
          <cell r="C2080">
            <v>9</v>
          </cell>
        </row>
        <row r="2081">
          <cell r="B2081">
            <v>40430</v>
          </cell>
          <cell r="C2081">
            <v>9</v>
          </cell>
        </row>
        <row r="2082">
          <cell r="B2082">
            <v>40431</v>
          </cell>
          <cell r="C2082">
            <v>9</v>
          </cell>
        </row>
        <row r="2083">
          <cell r="B2083">
            <v>40432</v>
          </cell>
          <cell r="C2083">
            <v>9</v>
          </cell>
        </row>
        <row r="2084">
          <cell r="B2084">
            <v>40433</v>
          </cell>
          <cell r="C2084">
            <v>9</v>
          </cell>
        </row>
        <row r="2085">
          <cell r="B2085">
            <v>40434</v>
          </cell>
          <cell r="C2085">
            <v>9</v>
          </cell>
        </row>
        <row r="2086">
          <cell r="B2086">
            <v>40435</v>
          </cell>
          <cell r="C2086">
            <v>9</v>
          </cell>
        </row>
        <row r="2087">
          <cell r="B2087">
            <v>40436</v>
          </cell>
          <cell r="C2087">
            <v>9</v>
          </cell>
        </row>
        <row r="2088">
          <cell r="B2088">
            <v>40437</v>
          </cell>
          <cell r="C2088">
            <v>9</v>
          </cell>
        </row>
        <row r="2089">
          <cell r="B2089">
            <v>40438</v>
          </cell>
          <cell r="C2089">
            <v>9</v>
          </cell>
        </row>
        <row r="2090">
          <cell r="B2090">
            <v>40439</v>
          </cell>
          <cell r="C2090">
            <v>9</v>
          </cell>
        </row>
        <row r="2091">
          <cell r="B2091">
            <v>40440</v>
          </cell>
          <cell r="C2091">
            <v>9</v>
          </cell>
        </row>
        <row r="2092">
          <cell r="B2092">
            <v>40441</v>
          </cell>
          <cell r="C2092">
            <v>9</v>
          </cell>
        </row>
        <row r="2093">
          <cell r="B2093">
            <v>40442</v>
          </cell>
          <cell r="C2093">
            <v>9</v>
          </cell>
        </row>
        <row r="2094">
          <cell r="B2094">
            <v>40443</v>
          </cell>
          <cell r="C2094">
            <v>9</v>
          </cell>
        </row>
        <row r="2095">
          <cell r="B2095">
            <v>40444</v>
          </cell>
          <cell r="C2095">
            <v>9</v>
          </cell>
        </row>
        <row r="2096">
          <cell r="B2096">
            <v>40445</v>
          </cell>
          <cell r="C2096">
            <v>9</v>
          </cell>
        </row>
        <row r="2097">
          <cell r="B2097">
            <v>40446</v>
          </cell>
          <cell r="C2097">
            <v>9</v>
          </cell>
        </row>
        <row r="2098">
          <cell r="B2098">
            <v>40447</v>
          </cell>
          <cell r="C2098">
            <v>9</v>
          </cell>
        </row>
        <row r="2099">
          <cell r="B2099">
            <v>40448</v>
          </cell>
          <cell r="C2099">
            <v>9</v>
          </cell>
        </row>
        <row r="2100">
          <cell r="B2100">
            <v>40449</v>
          </cell>
          <cell r="C2100">
            <v>9</v>
          </cell>
        </row>
        <row r="2101">
          <cell r="B2101">
            <v>40450</v>
          </cell>
          <cell r="C2101">
            <v>9</v>
          </cell>
        </row>
        <row r="2102">
          <cell r="B2102">
            <v>40451</v>
          </cell>
          <cell r="C2102">
            <v>9</v>
          </cell>
        </row>
        <row r="2103">
          <cell r="B2103">
            <v>40452</v>
          </cell>
          <cell r="C2103">
            <v>10</v>
          </cell>
        </row>
        <row r="2104">
          <cell r="B2104">
            <v>40453</v>
          </cell>
          <cell r="C2104">
            <v>10</v>
          </cell>
        </row>
        <row r="2105">
          <cell r="B2105">
            <v>40454</v>
          </cell>
          <cell r="C2105">
            <v>10</v>
          </cell>
        </row>
        <row r="2106">
          <cell r="B2106">
            <v>40455</v>
          </cell>
          <cell r="C2106">
            <v>10</v>
          </cell>
        </row>
        <row r="2107">
          <cell r="B2107">
            <v>40456</v>
          </cell>
          <cell r="C2107">
            <v>10</v>
          </cell>
        </row>
        <row r="2108">
          <cell r="B2108">
            <v>40457</v>
          </cell>
          <cell r="C2108">
            <v>10</v>
          </cell>
        </row>
        <row r="2109">
          <cell r="B2109">
            <v>40458</v>
          </cell>
          <cell r="C2109">
            <v>10</v>
          </cell>
        </row>
        <row r="2110">
          <cell r="B2110">
            <v>40459</v>
          </cell>
          <cell r="C2110">
            <v>10</v>
          </cell>
        </row>
        <row r="2111">
          <cell r="B2111">
            <v>40460</v>
          </cell>
          <cell r="C2111">
            <v>10</v>
          </cell>
        </row>
        <row r="2112">
          <cell r="B2112">
            <v>40461</v>
          </cell>
          <cell r="C2112">
            <v>10</v>
          </cell>
        </row>
        <row r="2113">
          <cell r="B2113">
            <v>40462</v>
          </cell>
          <cell r="C2113">
            <v>10</v>
          </cell>
        </row>
        <row r="2114">
          <cell r="B2114">
            <v>40463</v>
          </cell>
          <cell r="C2114">
            <v>10</v>
          </cell>
        </row>
        <row r="2115">
          <cell r="B2115">
            <v>40464</v>
          </cell>
          <cell r="C2115">
            <v>10</v>
          </cell>
        </row>
        <row r="2116">
          <cell r="B2116">
            <v>40465</v>
          </cell>
          <cell r="C2116">
            <v>10</v>
          </cell>
        </row>
        <row r="2117">
          <cell r="B2117">
            <v>40466</v>
          </cell>
          <cell r="C2117">
            <v>10</v>
          </cell>
        </row>
        <row r="2118">
          <cell r="B2118">
            <v>40467</v>
          </cell>
          <cell r="C2118">
            <v>10</v>
          </cell>
        </row>
        <row r="2119">
          <cell r="B2119">
            <v>40468</v>
          </cell>
          <cell r="C2119">
            <v>10</v>
          </cell>
        </row>
        <row r="2120">
          <cell r="B2120">
            <v>40469</v>
          </cell>
          <cell r="C2120">
            <v>10</v>
          </cell>
        </row>
        <row r="2121">
          <cell r="B2121">
            <v>40470</v>
          </cell>
          <cell r="C2121">
            <v>10</v>
          </cell>
        </row>
        <row r="2122">
          <cell r="B2122">
            <v>40471</v>
          </cell>
          <cell r="C2122">
            <v>10</v>
          </cell>
        </row>
        <row r="2123">
          <cell r="B2123">
            <v>40472</v>
          </cell>
          <cell r="C2123">
            <v>10</v>
          </cell>
        </row>
        <row r="2124">
          <cell r="B2124">
            <v>40473</v>
          </cell>
          <cell r="C2124">
            <v>10</v>
          </cell>
        </row>
        <row r="2125">
          <cell r="B2125">
            <v>40474</v>
          </cell>
          <cell r="C2125">
            <v>10</v>
          </cell>
        </row>
        <row r="2126">
          <cell r="B2126">
            <v>40475</v>
          </cell>
          <cell r="C2126">
            <v>10</v>
          </cell>
        </row>
        <row r="2127">
          <cell r="B2127">
            <v>40476</v>
          </cell>
          <cell r="C2127">
            <v>10</v>
          </cell>
        </row>
        <row r="2128">
          <cell r="B2128">
            <v>40477</v>
          </cell>
          <cell r="C2128">
            <v>10</v>
          </cell>
        </row>
        <row r="2129">
          <cell r="B2129">
            <v>40478</v>
          </cell>
          <cell r="C2129">
            <v>10</v>
          </cell>
        </row>
        <row r="2130">
          <cell r="B2130">
            <v>40479</v>
          </cell>
          <cell r="C2130">
            <v>10</v>
          </cell>
        </row>
        <row r="2131">
          <cell r="B2131">
            <v>40480</v>
          </cell>
          <cell r="C2131">
            <v>10</v>
          </cell>
        </row>
        <row r="2132">
          <cell r="B2132">
            <v>40481</v>
          </cell>
          <cell r="C2132">
            <v>10</v>
          </cell>
        </row>
        <row r="2133">
          <cell r="B2133">
            <v>40482</v>
          </cell>
          <cell r="C2133">
            <v>10</v>
          </cell>
        </row>
        <row r="2134">
          <cell r="B2134">
            <v>40483</v>
          </cell>
          <cell r="C2134">
            <v>11</v>
          </cell>
        </row>
        <row r="2135">
          <cell r="B2135">
            <v>40484</v>
          </cell>
          <cell r="C2135">
            <v>11</v>
          </cell>
        </row>
        <row r="2136">
          <cell r="B2136">
            <v>40485</v>
          </cell>
          <cell r="C2136">
            <v>11</v>
          </cell>
        </row>
        <row r="2137">
          <cell r="B2137">
            <v>40486</v>
          </cell>
          <cell r="C2137">
            <v>11</v>
          </cell>
        </row>
        <row r="2138">
          <cell r="B2138">
            <v>40487</v>
          </cell>
          <cell r="C2138">
            <v>11</v>
          </cell>
        </row>
        <row r="2139">
          <cell r="B2139">
            <v>40488</v>
          </cell>
          <cell r="C2139">
            <v>11</v>
          </cell>
        </row>
        <row r="2140">
          <cell r="B2140">
            <v>40489</v>
          </cell>
          <cell r="C2140">
            <v>11</v>
          </cell>
        </row>
        <row r="2141">
          <cell r="B2141">
            <v>40490</v>
          </cell>
          <cell r="C2141">
            <v>11</v>
          </cell>
        </row>
        <row r="2142">
          <cell r="B2142">
            <v>40491</v>
          </cell>
          <cell r="C2142">
            <v>11</v>
          </cell>
        </row>
        <row r="2143">
          <cell r="B2143">
            <v>40492</v>
          </cell>
          <cell r="C2143">
            <v>11</v>
          </cell>
        </row>
        <row r="2144">
          <cell r="B2144">
            <v>40493</v>
          </cell>
          <cell r="C2144">
            <v>11</v>
          </cell>
        </row>
        <row r="2145">
          <cell r="B2145">
            <v>40494</v>
          </cell>
          <cell r="C2145">
            <v>11</v>
          </cell>
        </row>
        <row r="2146">
          <cell r="B2146">
            <v>40495</v>
          </cell>
          <cell r="C2146">
            <v>11</v>
          </cell>
        </row>
        <row r="2147">
          <cell r="B2147">
            <v>40496</v>
          </cell>
          <cell r="C2147">
            <v>11</v>
          </cell>
        </row>
        <row r="2148">
          <cell r="B2148">
            <v>40497</v>
          </cell>
          <cell r="C2148">
            <v>11</v>
          </cell>
        </row>
        <row r="2149">
          <cell r="B2149">
            <v>40498</v>
          </cell>
          <cell r="C2149">
            <v>11</v>
          </cell>
        </row>
        <row r="2150">
          <cell r="B2150">
            <v>40499</v>
          </cell>
          <cell r="C2150">
            <v>11</v>
          </cell>
        </row>
        <row r="2151">
          <cell r="B2151">
            <v>40500</v>
          </cell>
          <cell r="C2151">
            <v>11</v>
          </cell>
        </row>
        <row r="2152">
          <cell r="B2152">
            <v>40501</v>
          </cell>
          <cell r="C2152">
            <v>11</v>
          </cell>
        </row>
        <row r="2153">
          <cell r="B2153">
            <v>40502</v>
          </cell>
          <cell r="C2153">
            <v>11</v>
          </cell>
        </row>
        <row r="2154">
          <cell r="B2154">
            <v>40503</v>
          </cell>
          <cell r="C2154">
            <v>11</v>
          </cell>
        </row>
        <row r="2155">
          <cell r="B2155">
            <v>40504</v>
          </cell>
          <cell r="C2155">
            <v>11</v>
          </cell>
        </row>
        <row r="2156">
          <cell r="B2156">
            <v>40505</v>
          </cell>
          <cell r="C2156">
            <v>11</v>
          </cell>
        </row>
        <row r="2157">
          <cell r="B2157">
            <v>40506</v>
          </cell>
          <cell r="C2157">
            <v>11</v>
          </cell>
        </row>
        <row r="2158">
          <cell r="B2158">
            <v>40507</v>
          </cell>
          <cell r="C2158">
            <v>11</v>
          </cell>
        </row>
        <row r="2159">
          <cell r="B2159">
            <v>40508</v>
          </cell>
          <cell r="C2159">
            <v>11</v>
          </cell>
        </row>
        <row r="2160">
          <cell r="B2160">
            <v>40509</v>
          </cell>
          <cell r="C2160">
            <v>11</v>
          </cell>
        </row>
        <row r="2161">
          <cell r="B2161">
            <v>40510</v>
          </cell>
          <cell r="C2161">
            <v>11</v>
          </cell>
        </row>
        <row r="2162">
          <cell r="B2162">
            <v>40511</v>
          </cell>
          <cell r="C2162">
            <v>11</v>
          </cell>
        </row>
        <row r="2163">
          <cell r="B2163">
            <v>40512</v>
          </cell>
          <cell r="C2163">
            <v>11</v>
          </cell>
        </row>
        <row r="2164">
          <cell r="B2164">
            <v>40513</v>
          </cell>
          <cell r="C2164">
            <v>12</v>
          </cell>
        </row>
        <row r="2165">
          <cell r="B2165">
            <v>40514</v>
          </cell>
          <cell r="C2165">
            <v>12</v>
          </cell>
        </row>
        <row r="2166">
          <cell r="B2166">
            <v>40515</v>
          </cell>
          <cell r="C2166">
            <v>12</v>
          </cell>
        </row>
        <row r="2167">
          <cell r="B2167">
            <v>40516</v>
          </cell>
          <cell r="C2167">
            <v>12</v>
          </cell>
        </row>
        <row r="2168">
          <cell r="B2168">
            <v>40517</v>
          </cell>
          <cell r="C2168">
            <v>12</v>
          </cell>
        </row>
        <row r="2169">
          <cell r="B2169">
            <v>40518</v>
          </cell>
          <cell r="C2169">
            <v>12</v>
          </cell>
        </row>
        <row r="2170">
          <cell r="B2170">
            <v>40519</v>
          </cell>
          <cell r="C2170">
            <v>12</v>
          </cell>
        </row>
        <row r="2171">
          <cell r="B2171">
            <v>40520</v>
          </cell>
          <cell r="C2171">
            <v>12</v>
          </cell>
        </row>
        <row r="2172">
          <cell r="B2172">
            <v>40521</v>
          </cell>
          <cell r="C2172">
            <v>12</v>
          </cell>
        </row>
        <row r="2173">
          <cell r="B2173">
            <v>40522</v>
          </cell>
          <cell r="C2173">
            <v>12</v>
          </cell>
        </row>
        <row r="2174">
          <cell r="B2174">
            <v>40523</v>
          </cell>
          <cell r="C2174">
            <v>12</v>
          </cell>
        </row>
        <row r="2175">
          <cell r="B2175">
            <v>40524</v>
          </cell>
          <cell r="C2175">
            <v>12</v>
          </cell>
        </row>
        <row r="2176">
          <cell r="B2176">
            <v>40525</v>
          </cell>
          <cell r="C2176">
            <v>12</v>
          </cell>
        </row>
        <row r="2177">
          <cell r="B2177">
            <v>40526</v>
          </cell>
          <cell r="C2177">
            <v>12</v>
          </cell>
        </row>
        <row r="2178">
          <cell r="B2178">
            <v>40527</v>
          </cell>
          <cell r="C2178">
            <v>12</v>
          </cell>
        </row>
        <row r="2179">
          <cell r="B2179">
            <v>40528</v>
          </cell>
          <cell r="C2179">
            <v>12</v>
          </cell>
        </row>
        <row r="2180">
          <cell r="B2180">
            <v>40529</v>
          </cell>
          <cell r="C2180">
            <v>12</v>
          </cell>
        </row>
        <row r="2181">
          <cell r="B2181">
            <v>40530</v>
          </cell>
          <cell r="C2181">
            <v>12</v>
          </cell>
        </row>
        <row r="2182">
          <cell r="B2182">
            <v>40531</v>
          </cell>
          <cell r="C2182">
            <v>12</v>
          </cell>
        </row>
        <row r="2183">
          <cell r="B2183">
            <v>40532</v>
          </cell>
          <cell r="C2183">
            <v>12</v>
          </cell>
        </row>
        <row r="2184">
          <cell r="B2184">
            <v>40533</v>
          </cell>
          <cell r="C2184">
            <v>12</v>
          </cell>
        </row>
        <row r="2185">
          <cell r="B2185">
            <v>40534</v>
          </cell>
          <cell r="C2185">
            <v>12</v>
          </cell>
        </row>
        <row r="2186">
          <cell r="B2186">
            <v>40535</v>
          </cell>
          <cell r="C2186">
            <v>12</v>
          </cell>
        </row>
        <row r="2187">
          <cell r="B2187">
            <v>40536</v>
          </cell>
          <cell r="C2187">
            <v>12</v>
          </cell>
        </row>
        <row r="2188">
          <cell r="B2188">
            <v>40537</v>
          </cell>
          <cell r="C2188">
            <v>12</v>
          </cell>
        </row>
        <row r="2189">
          <cell r="B2189">
            <v>40538</v>
          </cell>
          <cell r="C2189">
            <v>12</v>
          </cell>
        </row>
        <row r="2190">
          <cell r="B2190">
            <v>40539</v>
          </cell>
          <cell r="C2190">
            <v>12</v>
          </cell>
        </row>
        <row r="2191">
          <cell r="B2191">
            <v>40540</v>
          </cell>
          <cell r="C2191">
            <v>12</v>
          </cell>
        </row>
        <row r="2192">
          <cell r="B2192">
            <v>40541</v>
          </cell>
          <cell r="C2192">
            <v>12</v>
          </cell>
        </row>
        <row r="2193">
          <cell r="B2193">
            <v>40542</v>
          </cell>
          <cell r="C2193">
            <v>12</v>
          </cell>
        </row>
        <row r="2194">
          <cell r="B2194">
            <v>40543</v>
          </cell>
          <cell r="C2194">
            <v>12</v>
          </cell>
        </row>
        <row r="2195">
          <cell r="B2195">
            <v>40544</v>
          </cell>
          <cell r="C2195">
            <v>1</v>
          </cell>
        </row>
        <row r="2196">
          <cell r="B2196">
            <v>40545</v>
          </cell>
          <cell r="C2196">
            <v>1</v>
          </cell>
        </row>
        <row r="2197">
          <cell r="B2197">
            <v>40546</v>
          </cell>
          <cell r="C2197">
            <v>1</v>
          </cell>
        </row>
        <row r="2198">
          <cell r="B2198">
            <v>40547</v>
          </cell>
          <cell r="C2198">
            <v>1</v>
          </cell>
        </row>
        <row r="2199">
          <cell r="B2199">
            <v>40548</v>
          </cell>
          <cell r="C2199">
            <v>1</v>
          </cell>
        </row>
        <row r="2200">
          <cell r="B2200">
            <v>40549</v>
          </cell>
          <cell r="C2200">
            <v>1</v>
          </cell>
        </row>
        <row r="2201">
          <cell r="B2201">
            <v>40550</v>
          </cell>
          <cell r="C2201">
            <v>1</v>
          </cell>
        </row>
        <row r="2202">
          <cell r="B2202">
            <v>40551</v>
          </cell>
          <cell r="C2202">
            <v>1</v>
          </cell>
        </row>
        <row r="2203">
          <cell r="B2203">
            <v>40552</v>
          </cell>
          <cell r="C2203">
            <v>1</v>
          </cell>
        </row>
        <row r="2204">
          <cell r="B2204">
            <v>40553</v>
          </cell>
          <cell r="C2204">
            <v>1</v>
          </cell>
        </row>
        <row r="2205">
          <cell r="B2205">
            <v>40554</v>
          </cell>
          <cell r="C2205">
            <v>1</v>
          </cell>
        </row>
        <row r="2206">
          <cell r="B2206">
            <v>40555</v>
          </cell>
          <cell r="C2206">
            <v>1</v>
          </cell>
        </row>
        <row r="2207">
          <cell r="B2207">
            <v>40556</v>
          </cell>
          <cell r="C2207">
            <v>1</v>
          </cell>
        </row>
        <row r="2208">
          <cell r="B2208">
            <v>40557</v>
          </cell>
          <cell r="C2208">
            <v>1</v>
          </cell>
        </row>
        <row r="2209">
          <cell r="B2209">
            <v>40558</v>
          </cell>
          <cell r="C2209">
            <v>1</v>
          </cell>
        </row>
        <row r="2210">
          <cell r="B2210">
            <v>40559</v>
          </cell>
          <cell r="C2210">
            <v>1</v>
          </cell>
        </row>
        <row r="2211">
          <cell r="B2211">
            <v>40560</v>
          </cell>
          <cell r="C2211">
            <v>1</v>
          </cell>
        </row>
        <row r="2212">
          <cell r="B2212">
            <v>40561</v>
          </cell>
          <cell r="C2212">
            <v>1</v>
          </cell>
        </row>
        <row r="2213">
          <cell r="B2213">
            <v>40562</v>
          </cell>
          <cell r="C2213">
            <v>1</v>
          </cell>
        </row>
        <row r="2214">
          <cell r="B2214">
            <v>40563</v>
          </cell>
          <cell r="C2214">
            <v>1</v>
          </cell>
        </row>
        <row r="2215">
          <cell r="B2215">
            <v>40564</v>
          </cell>
          <cell r="C2215">
            <v>1</v>
          </cell>
        </row>
        <row r="2216">
          <cell r="B2216">
            <v>40565</v>
          </cell>
          <cell r="C2216">
            <v>1</v>
          </cell>
        </row>
        <row r="2217">
          <cell r="B2217">
            <v>40566</v>
          </cell>
          <cell r="C2217">
            <v>1</v>
          </cell>
        </row>
        <row r="2218">
          <cell r="B2218">
            <v>40567</v>
          </cell>
          <cell r="C2218">
            <v>1</v>
          </cell>
        </row>
        <row r="2219">
          <cell r="B2219">
            <v>40568</v>
          </cell>
          <cell r="C2219">
            <v>1</v>
          </cell>
        </row>
        <row r="2220">
          <cell r="B2220">
            <v>40569</v>
          </cell>
          <cell r="C2220">
            <v>1</v>
          </cell>
        </row>
        <row r="2221">
          <cell r="B2221">
            <v>40570</v>
          </cell>
          <cell r="C2221">
            <v>1</v>
          </cell>
        </row>
        <row r="2222">
          <cell r="B2222">
            <v>40571</v>
          </cell>
          <cell r="C2222">
            <v>1</v>
          </cell>
        </row>
        <row r="2223">
          <cell r="B2223">
            <v>40572</v>
          </cell>
          <cell r="C2223">
            <v>1</v>
          </cell>
        </row>
        <row r="2224">
          <cell r="B2224">
            <v>40573</v>
          </cell>
          <cell r="C2224">
            <v>1</v>
          </cell>
        </row>
        <row r="2225">
          <cell r="B2225">
            <v>40574</v>
          </cell>
          <cell r="C2225">
            <v>1</v>
          </cell>
        </row>
        <row r="2226">
          <cell r="B2226">
            <v>40575</v>
          </cell>
          <cell r="C2226">
            <v>2</v>
          </cell>
        </row>
        <row r="2227">
          <cell r="B2227">
            <v>40576</v>
          </cell>
          <cell r="C2227">
            <v>2</v>
          </cell>
        </row>
        <row r="2228">
          <cell r="B2228">
            <v>40577</v>
          </cell>
          <cell r="C2228">
            <v>2</v>
          </cell>
        </row>
        <row r="2229">
          <cell r="B2229">
            <v>40578</v>
          </cell>
          <cell r="C2229">
            <v>2</v>
          </cell>
        </row>
        <row r="2230">
          <cell r="B2230">
            <v>40579</v>
          </cell>
          <cell r="C2230">
            <v>2</v>
          </cell>
        </row>
        <row r="2231">
          <cell r="B2231">
            <v>40580</v>
          </cell>
          <cell r="C2231">
            <v>2</v>
          </cell>
        </row>
        <row r="2232">
          <cell r="B2232">
            <v>40581</v>
          </cell>
          <cell r="C2232">
            <v>2</v>
          </cell>
        </row>
        <row r="2233">
          <cell r="B2233">
            <v>40582</v>
          </cell>
          <cell r="C2233">
            <v>2</v>
          </cell>
        </row>
        <row r="2234">
          <cell r="B2234">
            <v>40583</v>
          </cell>
          <cell r="C2234">
            <v>2</v>
          </cell>
        </row>
        <row r="2235">
          <cell r="B2235">
            <v>40584</v>
          </cell>
          <cell r="C2235">
            <v>2</v>
          </cell>
        </row>
        <row r="2236">
          <cell r="B2236">
            <v>40585</v>
          </cell>
          <cell r="C2236">
            <v>2</v>
          </cell>
        </row>
        <row r="2237">
          <cell r="B2237">
            <v>40586</v>
          </cell>
          <cell r="C2237">
            <v>2</v>
          </cell>
        </row>
        <row r="2238">
          <cell r="B2238">
            <v>40587</v>
          </cell>
          <cell r="C2238">
            <v>2</v>
          </cell>
        </row>
        <row r="2239">
          <cell r="B2239">
            <v>40588</v>
          </cell>
          <cell r="C2239">
            <v>2</v>
          </cell>
        </row>
        <row r="2240">
          <cell r="B2240">
            <v>40589</v>
          </cell>
          <cell r="C2240">
            <v>2</v>
          </cell>
        </row>
        <row r="2241">
          <cell r="B2241">
            <v>40590</v>
          </cell>
          <cell r="C2241">
            <v>2</v>
          </cell>
        </row>
        <row r="2242">
          <cell r="B2242">
            <v>40591</v>
          </cell>
          <cell r="C2242">
            <v>2</v>
          </cell>
        </row>
        <row r="2243">
          <cell r="B2243">
            <v>40592</v>
          </cell>
          <cell r="C2243">
            <v>2</v>
          </cell>
        </row>
        <row r="2244">
          <cell r="B2244">
            <v>40593</v>
          </cell>
          <cell r="C2244">
            <v>2</v>
          </cell>
        </row>
        <row r="2245">
          <cell r="B2245">
            <v>40594</v>
          </cell>
          <cell r="C2245">
            <v>2</v>
          </cell>
        </row>
        <row r="2246">
          <cell r="B2246">
            <v>40595</v>
          </cell>
          <cell r="C2246">
            <v>2</v>
          </cell>
        </row>
        <row r="2247">
          <cell r="B2247">
            <v>40596</v>
          </cell>
          <cell r="C2247">
            <v>2</v>
          </cell>
        </row>
        <row r="2248">
          <cell r="B2248">
            <v>40597</v>
          </cell>
          <cell r="C2248">
            <v>2</v>
          </cell>
        </row>
        <row r="2249">
          <cell r="B2249">
            <v>40598</v>
          </cell>
          <cell r="C2249">
            <v>2</v>
          </cell>
        </row>
        <row r="2250">
          <cell r="B2250">
            <v>40599</v>
          </cell>
          <cell r="C2250">
            <v>2</v>
          </cell>
        </row>
        <row r="2251">
          <cell r="B2251">
            <v>40600</v>
          </cell>
          <cell r="C2251">
            <v>2</v>
          </cell>
        </row>
        <row r="2252">
          <cell r="B2252">
            <v>40601</v>
          </cell>
          <cell r="C2252">
            <v>2</v>
          </cell>
        </row>
        <row r="2253">
          <cell r="B2253">
            <v>40602</v>
          </cell>
          <cell r="C2253">
            <v>2</v>
          </cell>
        </row>
        <row r="2254">
          <cell r="B2254">
            <v>40603</v>
          </cell>
          <cell r="C2254">
            <v>3</v>
          </cell>
        </row>
        <row r="2255">
          <cell r="B2255">
            <v>40604</v>
          </cell>
          <cell r="C2255">
            <v>3</v>
          </cell>
        </row>
        <row r="2256">
          <cell r="B2256">
            <v>40605</v>
          </cell>
          <cell r="C2256">
            <v>3</v>
          </cell>
        </row>
        <row r="2257">
          <cell r="B2257">
            <v>40606</v>
          </cell>
          <cell r="C2257">
            <v>3</v>
          </cell>
        </row>
        <row r="2258">
          <cell r="B2258">
            <v>40607</v>
          </cell>
          <cell r="C2258">
            <v>3</v>
          </cell>
        </row>
        <row r="2259">
          <cell r="B2259">
            <v>40608</v>
          </cell>
          <cell r="C2259">
            <v>3</v>
          </cell>
        </row>
        <row r="2260">
          <cell r="B2260">
            <v>40609</v>
          </cell>
          <cell r="C2260">
            <v>3</v>
          </cell>
        </row>
        <row r="2261">
          <cell r="B2261">
            <v>40610</v>
          </cell>
          <cell r="C2261">
            <v>3</v>
          </cell>
        </row>
        <row r="2262">
          <cell r="B2262">
            <v>40611</v>
          </cell>
          <cell r="C2262">
            <v>3</v>
          </cell>
        </row>
        <row r="2263">
          <cell r="B2263">
            <v>40612</v>
          </cell>
          <cell r="C2263">
            <v>3</v>
          </cell>
        </row>
        <row r="2264">
          <cell r="B2264">
            <v>40613</v>
          </cell>
          <cell r="C2264">
            <v>3</v>
          </cell>
        </row>
        <row r="2265">
          <cell r="B2265">
            <v>40614</v>
          </cell>
          <cell r="C2265">
            <v>3</v>
          </cell>
        </row>
        <row r="2266">
          <cell r="B2266">
            <v>40615</v>
          </cell>
          <cell r="C2266">
            <v>3</v>
          </cell>
        </row>
        <row r="2267">
          <cell r="B2267">
            <v>40616</v>
          </cell>
          <cell r="C2267">
            <v>3</v>
          </cell>
        </row>
        <row r="2268">
          <cell r="B2268">
            <v>40617</v>
          </cell>
          <cell r="C2268">
            <v>3</v>
          </cell>
        </row>
        <row r="2269">
          <cell r="B2269">
            <v>40618</v>
          </cell>
          <cell r="C2269">
            <v>3</v>
          </cell>
        </row>
        <row r="2270">
          <cell r="B2270">
            <v>40619</v>
          </cell>
          <cell r="C2270">
            <v>3</v>
          </cell>
        </row>
        <row r="2271">
          <cell r="B2271">
            <v>40620</v>
          </cell>
          <cell r="C2271">
            <v>3</v>
          </cell>
        </row>
        <row r="2272">
          <cell r="B2272">
            <v>40621</v>
          </cell>
          <cell r="C2272">
            <v>3</v>
          </cell>
        </row>
        <row r="2273">
          <cell r="B2273">
            <v>40622</v>
          </cell>
          <cell r="C2273">
            <v>3</v>
          </cell>
        </row>
        <row r="2274">
          <cell r="B2274">
            <v>40623</v>
          </cell>
          <cell r="C2274">
            <v>3</v>
          </cell>
        </row>
        <row r="2275">
          <cell r="B2275">
            <v>40624</v>
          </cell>
          <cell r="C2275">
            <v>3</v>
          </cell>
        </row>
        <row r="2276">
          <cell r="B2276">
            <v>40625</v>
          </cell>
          <cell r="C2276">
            <v>3</v>
          </cell>
        </row>
        <row r="2277">
          <cell r="B2277">
            <v>40626</v>
          </cell>
          <cell r="C2277">
            <v>3</v>
          </cell>
        </row>
        <row r="2278">
          <cell r="B2278">
            <v>40627</v>
          </cell>
          <cell r="C2278">
            <v>3</v>
          </cell>
        </row>
        <row r="2279">
          <cell r="B2279">
            <v>40628</v>
          </cell>
          <cell r="C2279">
            <v>3</v>
          </cell>
        </row>
        <row r="2280">
          <cell r="B2280">
            <v>40629</v>
          </cell>
          <cell r="C2280">
            <v>3</v>
          </cell>
        </row>
        <row r="2281">
          <cell r="B2281">
            <v>40630</v>
          </cell>
          <cell r="C2281">
            <v>3</v>
          </cell>
        </row>
        <row r="2282">
          <cell r="B2282">
            <v>40631</v>
          </cell>
          <cell r="C2282">
            <v>3</v>
          </cell>
        </row>
        <row r="2283">
          <cell r="B2283">
            <v>40632</v>
          </cell>
          <cell r="C2283">
            <v>3</v>
          </cell>
        </row>
        <row r="2284">
          <cell r="B2284">
            <v>40633</v>
          </cell>
          <cell r="C2284">
            <v>3</v>
          </cell>
        </row>
        <row r="2285">
          <cell r="B2285">
            <v>40634</v>
          </cell>
          <cell r="C2285">
            <v>4</v>
          </cell>
        </row>
        <row r="2286">
          <cell r="B2286">
            <v>40635</v>
          </cell>
          <cell r="C2286">
            <v>4</v>
          </cell>
        </row>
        <row r="2287">
          <cell r="B2287">
            <v>40636</v>
          </cell>
          <cell r="C2287">
            <v>4</v>
          </cell>
        </row>
        <row r="2288">
          <cell r="B2288">
            <v>40637</v>
          </cell>
          <cell r="C2288">
            <v>4</v>
          </cell>
        </row>
        <row r="2289">
          <cell r="B2289">
            <v>40638</v>
          </cell>
          <cell r="C2289">
            <v>4</v>
          </cell>
        </row>
        <row r="2290">
          <cell r="B2290">
            <v>40639</v>
          </cell>
          <cell r="C2290">
            <v>4</v>
          </cell>
        </row>
        <row r="2291">
          <cell r="B2291">
            <v>40640</v>
          </cell>
          <cell r="C2291">
            <v>4</v>
          </cell>
        </row>
        <row r="2292">
          <cell r="B2292">
            <v>40641</v>
          </cell>
          <cell r="C2292">
            <v>4</v>
          </cell>
        </row>
        <row r="2293">
          <cell r="B2293">
            <v>40642</v>
          </cell>
          <cell r="C2293">
            <v>4</v>
          </cell>
        </row>
        <row r="2294">
          <cell r="B2294">
            <v>40643</v>
          </cell>
          <cell r="C2294">
            <v>4</v>
          </cell>
        </row>
        <row r="2295">
          <cell r="B2295">
            <v>40644</v>
          </cell>
          <cell r="C2295">
            <v>4</v>
          </cell>
        </row>
        <row r="2296">
          <cell r="B2296">
            <v>40645</v>
          </cell>
          <cell r="C2296">
            <v>4</v>
          </cell>
        </row>
        <row r="2297">
          <cell r="B2297">
            <v>40646</v>
          </cell>
          <cell r="C2297">
            <v>4</v>
          </cell>
        </row>
        <row r="2298">
          <cell r="B2298">
            <v>40647</v>
          </cell>
          <cell r="C2298">
            <v>4</v>
          </cell>
        </row>
        <row r="2299">
          <cell r="B2299">
            <v>40648</v>
          </cell>
          <cell r="C2299">
            <v>4</v>
          </cell>
        </row>
        <row r="2300">
          <cell r="B2300">
            <v>40649</v>
          </cell>
          <cell r="C2300">
            <v>4</v>
          </cell>
        </row>
        <row r="2301">
          <cell r="B2301">
            <v>40650</v>
          </cell>
          <cell r="C2301">
            <v>4</v>
          </cell>
        </row>
        <row r="2302">
          <cell r="B2302">
            <v>40651</v>
          </cell>
          <cell r="C2302">
            <v>4</v>
          </cell>
        </row>
        <row r="2303">
          <cell r="B2303">
            <v>40652</v>
          </cell>
          <cell r="C2303">
            <v>4</v>
          </cell>
        </row>
        <row r="2304">
          <cell r="B2304">
            <v>40653</v>
          </cell>
          <cell r="C2304">
            <v>4</v>
          </cell>
        </row>
        <row r="2305">
          <cell r="B2305">
            <v>40654</v>
          </cell>
          <cell r="C2305">
            <v>4</v>
          </cell>
        </row>
        <row r="2306">
          <cell r="B2306">
            <v>40655</v>
          </cell>
          <cell r="C2306">
            <v>4</v>
          </cell>
        </row>
        <row r="2307">
          <cell r="B2307">
            <v>40656</v>
          </cell>
          <cell r="C2307">
            <v>4</v>
          </cell>
        </row>
        <row r="2308">
          <cell r="B2308">
            <v>40657</v>
          </cell>
          <cell r="C2308">
            <v>4</v>
          </cell>
        </row>
        <row r="2309">
          <cell r="B2309">
            <v>40658</v>
          </cell>
          <cell r="C2309">
            <v>4</v>
          </cell>
        </row>
        <row r="2310">
          <cell r="B2310">
            <v>40659</v>
          </cell>
          <cell r="C2310">
            <v>4</v>
          </cell>
        </row>
        <row r="2311">
          <cell r="B2311">
            <v>40660</v>
          </cell>
          <cell r="C2311">
            <v>4</v>
          </cell>
        </row>
        <row r="2312">
          <cell r="B2312">
            <v>40661</v>
          </cell>
          <cell r="C2312">
            <v>4</v>
          </cell>
        </row>
        <row r="2313">
          <cell r="B2313">
            <v>40662</v>
          </cell>
          <cell r="C2313">
            <v>4</v>
          </cell>
        </row>
        <row r="2314">
          <cell r="B2314">
            <v>40663</v>
          </cell>
          <cell r="C2314">
            <v>4</v>
          </cell>
        </row>
        <row r="2315">
          <cell r="B2315">
            <v>40664</v>
          </cell>
          <cell r="C2315">
            <v>5</v>
          </cell>
        </row>
        <row r="2316">
          <cell r="B2316">
            <v>40665</v>
          </cell>
          <cell r="C2316">
            <v>5</v>
          </cell>
        </row>
        <row r="2317">
          <cell r="B2317">
            <v>40666</v>
          </cell>
          <cell r="C2317">
            <v>5</v>
          </cell>
        </row>
        <row r="2318">
          <cell r="B2318">
            <v>40667</v>
          </cell>
          <cell r="C2318">
            <v>5</v>
          </cell>
        </row>
        <row r="2319">
          <cell r="B2319">
            <v>40668</v>
          </cell>
          <cell r="C2319">
            <v>5</v>
          </cell>
        </row>
        <row r="2320">
          <cell r="B2320">
            <v>40669</v>
          </cell>
          <cell r="C2320">
            <v>5</v>
          </cell>
        </row>
        <row r="2321">
          <cell r="B2321">
            <v>40670</v>
          </cell>
          <cell r="C2321">
            <v>5</v>
          </cell>
        </row>
        <row r="2322">
          <cell r="B2322">
            <v>40671</v>
          </cell>
          <cell r="C2322">
            <v>5</v>
          </cell>
        </row>
        <row r="2323">
          <cell r="B2323">
            <v>40672</v>
          </cell>
          <cell r="C2323">
            <v>5</v>
          </cell>
        </row>
        <row r="2324">
          <cell r="B2324">
            <v>40673</v>
          </cell>
          <cell r="C2324">
            <v>5</v>
          </cell>
        </row>
        <row r="2325">
          <cell r="B2325">
            <v>40674</v>
          </cell>
          <cell r="C2325">
            <v>5</v>
          </cell>
        </row>
        <row r="2326">
          <cell r="B2326">
            <v>40675</v>
          </cell>
          <cell r="C2326">
            <v>5</v>
          </cell>
        </row>
        <row r="2327">
          <cell r="B2327">
            <v>40676</v>
          </cell>
          <cell r="C2327">
            <v>5</v>
          </cell>
        </row>
        <row r="2328">
          <cell r="B2328">
            <v>40677</v>
          </cell>
          <cell r="C2328">
            <v>5</v>
          </cell>
        </row>
        <row r="2329">
          <cell r="B2329">
            <v>40678</v>
          </cell>
          <cell r="C2329">
            <v>5</v>
          </cell>
        </row>
        <row r="2330">
          <cell r="B2330">
            <v>40679</v>
          </cell>
          <cell r="C2330">
            <v>5</v>
          </cell>
        </row>
        <row r="2331">
          <cell r="B2331">
            <v>40680</v>
          </cell>
          <cell r="C2331">
            <v>5</v>
          </cell>
        </row>
        <row r="2332">
          <cell r="B2332">
            <v>40681</v>
          </cell>
          <cell r="C2332">
            <v>5</v>
          </cell>
        </row>
        <row r="2333">
          <cell r="B2333">
            <v>40682</v>
          </cell>
          <cell r="C2333">
            <v>5</v>
          </cell>
        </row>
        <row r="2334">
          <cell r="B2334">
            <v>40683</v>
          </cell>
          <cell r="C2334">
            <v>5</v>
          </cell>
        </row>
        <row r="2335">
          <cell r="B2335">
            <v>40684</v>
          </cell>
          <cell r="C2335">
            <v>5</v>
          </cell>
        </row>
        <row r="2336">
          <cell r="B2336">
            <v>40685</v>
          </cell>
          <cell r="C2336">
            <v>5</v>
          </cell>
        </row>
        <row r="2337">
          <cell r="B2337">
            <v>40686</v>
          </cell>
          <cell r="C2337">
            <v>5</v>
          </cell>
        </row>
        <row r="2338">
          <cell r="B2338">
            <v>40687</v>
          </cell>
          <cell r="C2338">
            <v>5</v>
          </cell>
        </row>
        <row r="2339">
          <cell r="B2339">
            <v>40688</v>
          </cell>
          <cell r="C2339">
            <v>5</v>
          </cell>
        </row>
        <row r="2340">
          <cell r="B2340">
            <v>40689</v>
          </cell>
          <cell r="C2340">
            <v>5</v>
          </cell>
        </row>
        <row r="2341">
          <cell r="B2341">
            <v>40690</v>
          </cell>
          <cell r="C2341">
            <v>5</v>
          </cell>
        </row>
        <row r="2342">
          <cell r="B2342">
            <v>40691</v>
          </cell>
          <cell r="C2342">
            <v>5</v>
          </cell>
        </row>
        <row r="2343">
          <cell r="B2343">
            <v>40692</v>
          </cell>
          <cell r="C2343">
            <v>5</v>
          </cell>
        </row>
        <row r="2344">
          <cell r="B2344">
            <v>40693</v>
          </cell>
          <cell r="C2344">
            <v>5</v>
          </cell>
        </row>
        <row r="2345">
          <cell r="B2345">
            <v>40694</v>
          </cell>
          <cell r="C2345">
            <v>5</v>
          </cell>
        </row>
        <row r="2346">
          <cell r="B2346">
            <v>40695</v>
          </cell>
          <cell r="C2346">
            <v>6</v>
          </cell>
        </row>
        <row r="2347">
          <cell r="B2347">
            <v>40696</v>
          </cell>
          <cell r="C2347">
            <v>6</v>
          </cell>
        </row>
        <row r="2348">
          <cell r="B2348">
            <v>40697</v>
          </cell>
          <cell r="C2348">
            <v>6</v>
          </cell>
        </row>
        <row r="2349">
          <cell r="B2349">
            <v>40698</v>
          </cell>
          <cell r="C2349">
            <v>6</v>
          </cell>
        </row>
        <row r="2350">
          <cell r="B2350">
            <v>40699</v>
          </cell>
          <cell r="C2350">
            <v>6</v>
          </cell>
        </row>
        <row r="2351">
          <cell r="B2351">
            <v>40700</v>
          </cell>
          <cell r="C2351">
            <v>6</v>
          </cell>
        </row>
        <row r="2352">
          <cell r="B2352">
            <v>40701</v>
          </cell>
          <cell r="C2352">
            <v>6</v>
          </cell>
        </row>
        <row r="2353">
          <cell r="B2353">
            <v>40702</v>
          </cell>
          <cell r="C2353">
            <v>6</v>
          </cell>
        </row>
        <row r="2354">
          <cell r="B2354">
            <v>40703</v>
          </cell>
          <cell r="C2354">
            <v>6</v>
          </cell>
        </row>
        <row r="2355">
          <cell r="B2355">
            <v>40704</v>
          </cell>
          <cell r="C2355">
            <v>6</v>
          </cell>
        </row>
        <row r="2356">
          <cell r="B2356">
            <v>40705</v>
          </cell>
          <cell r="C2356">
            <v>6</v>
          </cell>
        </row>
        <row r="2357">
          <cell r="B2357">
            <v>40706</v>
          </cell>
          <cell r="C2357">
            <v>6</v>
          </cell>
        </row>
        <row r="2358">
          <cell r="B2358">
            <v>40707</v>
          </cell>
          <cell r="C2358">
            <v>6</v>
          </cell>
        </row>
        <row r="2359">
          <cell r="B2359">
            <v>40708</v>
          </cell>
          <cell r="C2359">
            <v>6</v>
          </cell>
        </row>
        <row r="2360">
          <cell r="B2360">
            <v>40709</v>
          </cell>
          <cell r="C2360">
            <v>6</v>
          </cell>
        </row>
        <row r="2361">
          <cell r="B2361">
            <v>40710</v>
          </cell>
          <cell r="C2361">
            <v>6</v>
          </cell>
        </row>
        <row r="2362">
          <cell r="B2362">
            <v>40711</v>
          </cell>
          <cell r="C2362">
            <v>6</v>
          </cell>
        </row>
        <row r="2363">
          <cell r="B2363">
            <v>40712</v>
          </cell>
          <cell r="C2363">
            <v>6</v>
          </cell>
        </row>
        <row r="2364">
          <cell r="B2364">
            <v>40713</v>
          </cell>
          <cell r="C2364">
            <v>6</v>
          </cell>
        </row>
        <row r="2365">
          <cell r="B2365">
            <v>40714</v>
          </cell>
          <cell r="C2365">
            <v>6</v>
          </cell>
        </row>
        <row r="2366">
          <cell r="B2366">
            <v>40715</v>
          </cell>
          <cell r="C2366">
            <v>6</v>
          </cell>
        </row>
        <row r="2367">
          <cell r="B2367">
            <v>40716</v>
          </cell>
          <cell r="C2367">
            <v>6</v>
          </cell>
        </row>
        <row r="2368">
          <cell r="B2368">
            <v>40717</v>
          </cell>
          <cell r="C2368">
            <v>6</v>
          </cell>
        </row>
        <row r="2369">
          <cell r="B2369">
            <v>40718</v>
          </cell>
          <cell r="C2369">
            <v>6</v>
          </cell>
        </row>
        <row r="2370">
          <cell r="B2370">
            <v>40719</v>
          </cell>
          <cell r="C2370">
            <v>6</v>
          </cell>
        </row>
        <row r="2371">
          <cell r="B2371">
            <v>40720</v>
          </cell>
          <cell r="C2371">
            <v>6</v>
          </cell>
        </row>
        <row r="2372">
          <cell r="B2372">
            <v>40721</v>
          </cell>
          <cell r="C2372">
            <v>6</v>
          </cell>
        </row>
        <row r="2373">
          <cell r="B2373">
            <v>40722</v>
          </cell>
          <cell r="C2373">
            <v>6</v>
          </cell>
        </row>
        <row r="2374">
          <cell r="B2374">
            <v>40723</v>
          </cell>
          <cell r="C2374">
            <v>6</v>
          </cell>
        </row>
        <row r="2375">
          <cell r="B2375">
            <v>40724</v>
          </cell>
          <cell r="C2375">
            <v>6</v>
          </cell>
        </row>
        <row r="2376">
          <cell r="B2376">
            <v>40725</v>
          </cell>
          <cell r="C2376">
            <v>7</v>
          </cell>
        </row>
        <row r="2377">
          <cell r="B2377">
            <v>40726</v>
          </cell>
          <cell r="C2377">
            <v>7</v>
          </cell>
        </row>
        <row r="2378">
          <cell r="B2378">
            <v>40727</v>
          </cell>
          <cell r="C2378">
            <v>7</v>
          </cell>
        </row>
        <row r="2379">
          <cell r="B2379">
            <v>40728</v>
          </cell>
          <cell r="C2379">
            <v>7</v>
          </cell>
        </row>
        <row r="2380">
          <cell r="B2380">
            <v>40729</v>
          </cell>
          <cell r="C2380">
            <v>7</v>
          </cell>
        </row>
        <row r="2381">
          <cell r="B2381">
            <v>40730</v>
          </cell>
          <cell r="C2381">
            <v>7</v>
          </cell>
        </row>
        <row r="2382">
          <cell r="B2382">
            <v>40731</v>
          </cell>
          <cell r="C2382">
            <v>7</v>
          </cell>
        </row>
        <row r="2383">
          <cell r="B2383">
            <v>40732</v>
          </cell>
          <cell r="C2383">
            <v>7</v>
          </cell>
        </row>
        <row r="2384">
          <cell r="B2384">
            <v>40733</v>
          </cell>
          <cell r="C2384">
            <v>7</v>
          </cell>
        </row>
        <row r="2385">
          <cell r="B2385">
            <v>40734</v>
          </cell>
          <cell r="C2385">
            <v>7</v>
          </cell>
        </row>
        <row r="2386">
          <cell r="B2386">
            <v>40735</v>
          </cell>
          <cell r="C2386">
            <v>7</v>
          </cell>
        </row>
        <row r="2387">
          <cell r="B2387">
            <v>40736</v>
          </cell>
          <cell r="C2387">
            <v>7</v>
          </cell>
        </row>
        <row r="2388">
          <cell r="B2388">
            <v>40737</v>
          </cell>
          <cell r="C2388">
            <v>7</v>
          </cell>
        </row>
        <row r="2389">
          <cell r="B2389">
            <v>40738</v>
          </cell>
          <cell r="C2389">
            <v>7</v>
          </cell>
        </row>
        <row r="2390">
          <cell r="B2390">
            <v>40739</v>
          </cell>
          <cell r="C2390">
            <v>7</v>
          </cell>
        </row>
        <row r="2391">
          <cell r="B2391">
            <v>40740</v>
          </cell>
          <cell r="C2391">
            <v>7</v>
          </cell>
        </row>
        <row r="2392">
          <cell r="B2392">
            <v>40741</v>
          </cell>
          <cell r="C2392">
            <v>7</v>
          </cell>
        </row>
        <row r="2393">
          <cell r="B2393">
            <v>40742</v>
          </cell>
          <cell r="C2393">
            <v>7</v>
          </cell>
        </row>
        <row r="2394">
          <cell r="B2394">
            <v>40743</v>
          </cell>
          <cell r="C2394">
            <v>7</v>
          </cell>
        </row>
        <row r="2395">
          <cell r="B2395">
            <v>40744</v>
          </cell>
          <cell r="C2395">
            <v>7</v>
          </cell>
        </row>
        <row r="2396">
          <cell r="B2396">
            <v>40745</v>
          </cell>
          <cell r="C2396">
            <v>7</v>
          </cell>
        </row>
        <row r="2397">
          <cell r="B2397">
            <v>40746</v>
          </cell>
          <cell r="C2397">
            <v>7</v>
          </cell>
        </row>
        <row r="2398">
          <cell r="B2398">
            <v>40747</v>
          </cell>
          <cell r="C2398">
            <v>7</v>
          </cell>
        </row>
        <row r="2399">
          <cell r="B2399">
            <v>40748</v>
          </cell>
          <cell r="C2399">
            <v>7</v>
          </cell>
        </row>
        <row r="2400">
          <cell r="B2400">
            <v>40749</v>
          </cell>
          <cell r="C2400">
            <v>7</v>
          </cell>
        </row>
        <row r="2401">
          <cell r="B2401">
            <v>40750</v>
          </cell>
          <cell r="C2401">
            <v>7</v>
          </cell>
        </row>
        <row r="2402">
          <cell r="B2402">
            <v>40751</v>
          </cell>
          <cell r="C2402">
            <v>7</v>
          </cell>
        </row>
        <row r="2403">
          <cell r="B2403">
            <v>40752</v>
          </cell>
          <cell r="C2403">
            <v>7</v>
          </cell>
        </row>
        <row r="2404">
          <cell r="B2404">
            <v>40753</v>
          </cell>
          <cell r="C2404">
            <v>7</v>
          </cell>
        </row>
        <row r="2405">
          <cell r="B2405">
            <v>40754</v>
          </cell>
          <cell r="C2405">
            <v>7</v>
          </cell>
        </row>
        <row r="2406">
          <cell r="B2406">
            <v>40755</v>
          </cell>
          <cell r="C2406">
            <v>7</v>
          </cell>
        </row>
        <row r="2407">
          <cell r="B2407">
            <v>40756</v>
          </cell>
          <cell r="C2407">
            <v>8</v>
          </cell>
        </row>
        <row r="2408">
          <cell r="B2408">
            <v>40757</v>
          </cell>
          <cell r="C2408">
            <v>8</v>
          </cell>
        </row>
        <row r="2409">
          <cell r="B2409">
            <v>40758</v>
          </cell>
          <cell r="C2409">
            <v>8</v>
          </cell>
        </row>
        <row r="2410">
          <cell r="B2410">
            <v>40759</v>
          </cell>
          <cell r="C2410">
            <v>8</v>
          </cell>
        </row>
        <row r="2411">
          <cell r="B2411">
            <v>40760</v>
          </cell>
          <cell r="C2411">
            <v>8</v>
          </cell>
        </row>
        <row r="2412">
          <cell r="B2412">
            <v>40761</v>
          </cell>
          <cell r="C2412">
            <v>8</v>
          </cell>
        </row>
        <row r="2413">
          <cell r="B2413">
            <v>40762</v>
          </cell>
          <cell r="C2413">
            <v>8</v>
          </cell>
        </row>
        <row r="2414">
          <cell r="B2414">
            <v>40763</v>
          </cell>
          <cell r="C2414">
            <v>8</v>
          </cell>
        </row>
        <row r="2415">
          <cell r="B2415">
            <v>40764</v>
          </cell>
          <cell r="C2415">
            <v>8</v>
          </cell>
        </row>
        <row r="2416">
          <cell r="B2416">
            <v>40765</v>
          </cell>
          <cell r="C2416">
            <v>8</v>
          </cell>
        </row>
        <row r="2417">
          <cell r="B2417">
            <v>40766</v>
          </cell>
          <cell r="C2417">
            <v>8</v>
          </cell>
        </row>
        <row r="2418">
          <cell r="B2418">
            <v>40767</v>
          </cell>
          <cell r="C2418">
            <v>8</v>
          </cell>
        </row>
        <row r="2419">
          <cell r="B2419">
            <v>40768</v>
          </cell>
          <cell r="C2419">
            <v>8</v>
          </cell>
        </row>
        <row r="2420">
          <cell r="B2420">
            <v>40769</v>
          </cell>
          <cell r="C2420">
            <v>8</v>
          </cell>
        </row>
        <row r="2421">
          <cell r="B2421">
            <v>40770</v>
          </cell>
          <cell r="C2421">
            <v>8</v>
          </cell>
        </row>
        <row r="2422">
          <cell r="B2422">
            <v>40771</v>
          </cell>
          <cell r="C2422">
            <v>8</v>
          </cell>
        </row>
        <row r="2423">
          <cell r="B2423">
            <v>40772</v>
          </cell>
          <cell r="C2423">
            <v>8</v>
          </cell>
        </row>
        <row r="2424">
          <cell r="B2424">
            <v>40773</v>
          </cell>
          <cell r="C2424">
            <v>8</v>
          </cell>
        </row>
        <row r="2425">
          <cell r="B2425">
            <v>40774</v>
          </cell>
          <cell r="C2425">
            <v>8</v>
          </cell>
        </row>
        <row r="2426">
          <cell r="B2426">
            <v>40775</v>
          </cell>
          <cell r="C2426">
            <v>8</v>
          </cell>
        </row>
        <row r="2427">
          <cell r="B2427">
            <v>40776</v>
          </cell>
          <cell r="C2427">
            <v>8</v>
          </cell>
        </row>
        <row r="2428">
          <cell r="B2428">
            <v>40777</v>
          </cell>
          <cell r="C2428">
            <v>8</v>
          </cell>
        </row>
        <row r="2429">
          <cell r="B2429">
            <v>40778</v>
          </cell>
          <cell r="C2429">
            <v>8</v>
          </cell>
        </row>
        <row r="2430">
          <cell r="B2430">
            <v>40779</v>
          </cell>
          <cell r="C2430">
            <v>8</v>
          </cell>
        </row>
        <row r="2431">
          <cell r="B2431">
            <v>40780</v>
          </cell>
          <cell r="C2431">
            <v>8</v>
          </cell>
        </row>
        <row r="2432">
          <cell r="B2432">
            <v>40781</v>
          </cell>
          <cell r="C2432">
            <v>8</v>
          </cell>
        </row>
        <row r="2433">
          <cell r="B2433">
            <v>40782</v>
          </cell>
          <cell r="C2433">
            <v>8</v>
          </cell>
        </row>
        <row r="2434">
          <cell r="B2434">
            <v>40783</v>
          </cell>
          <cell r="C2434">
            <v>8</v>
          </cell>
        </row>
        <row r="2435">
          <cell r="B2435">
            <v>40784</v>
          </cell>
          <cell r="C2435">
            <v>8</v>
          </cell>
        </row>
        <row r="2436">
          <cell r="B2436">
            <v>40785</v>
          </cell>
          <cell r="C2436">
            <v>8</v>
          </cell>
        </row>
        <row r="2437">
          <cell r="B2437">
            <v>40786</v>
          </cell>
          <cell r="C2437">
            <v>8</v>
          </cell>
        </row>
        <row r="2438">
          <cell r="B2438">
            <v>40787</v>
          </cell>
          <cell r="C2438">
            <v>9</v>
          </cell>
        </row>
        <row r="2439">
          <cell r="B2439">
            <v>40788</v>
          </cell>
          <cell r="C2439">
            <v>9</v>
          </cell>
        </row>
        <row r="2440">
          <cell r="B2440">
            <v>40789</v>
          </cell>
          <cell r="C2440">
            <v>9</v>
          </cell>
        </row>
        <row r="2441">
          <cell r="B2441">
            <v>40790</v>
          </cell>
          <cell r="C2441">
            <v>9</v>
          </cell>
        </row>
        <row r="2442">
          <cell r="B2442">
            <v>40791</v>
          </cell>
          <cell r="C2442">
            <v>9</v>
          </cell>
        </row>
        <row r="2443">
          <cell r="B2443">
            <v>40792</v>
          </cell>
          <cell r="C2443">
            <v>9</v>
          </cell>
        </row>
        <row r="2444">
          <cell r="B2444">
            <v>40793</v>
          </cell>
          <cell r="C2444">
            <v>9</v>
          </cell>
        </row>
        <row r="2445">
          <cell r="B2445">
            <v>40794</v>
          </cell>
          <cell r="C2445">
            <v>9</v>
          </cell>
        </row>
        <row r="2446">
          <cell r="B2446">
            <v>40795</v>
          </cell>
          <cell r="C2446">
            <v>9</v>
          </cell>
        </row>
        <row r="2447">
          <cell r="B2447">
            <v>40796</v>
          </cell>
          <cell r="C2447">
            <v>9</v>
          </cell>
        </row>
        <row r="2448">
          <cell r="B2448">
            <v>40797</v>
          </cell>
          <cell r="C2448">
            <v>9</v>
          </cell>
        </row>
        <row r="2449">
          <cell r="B2449">
            <v>40798</v>
          </cell>
          <cell r="C2449">
            <v>9</v>
          </cell>
        </row>
        <row r="2450">
          <cell r="B2450">
            <v>40799</v>
          </cell>
          <cell r="C2450">
            <v>9</v>
          </cell>
        </row>
        <row r="2451">
          <cell r="B2451">
            <v>40800</v>
          </cell>
          <cell r="C2451">
            <v>9</v>
          </cell>
        </row>
        <row r="2452">
          <cell r="B2452">
            <v>40801</v>
          </cell>
          <cell r="C2452">
            <v>9</v>
          </cell>
        </row>
        <row r="2453">
          <cell r="B2453">
            <v>40802</v>
          </cell>
          <cell r="C2453">
            <v>9</v>
          </cell>
        </row>
        <row r="2454">
          <cell r="B2454">
            <v>40803</v>
          </cell>
          <cell r="C2454">
            <v>9</v>
          </cell>
        </row>
        <row r="2455">
          <cell r="B2455">
            <v>40804</v>
          </cell>
          <cell r="C2455">
            <v>9</v>
          </cell>
        </row>
        <row r="2456">
          <cell r="B2456">
            <v>40805</v>
          </cell>
          <cell r="C2456">
            <v>9</v>
          </cell>
        </row>
        <row r="2457">
          <cell r="B2457">
            <v>40806</v>
          </cell>
          <cell r="C2457">
            <v>9</v>
          </cell>
        </row>
        <row r="2458">
          <cell r="B2458">
            <v>40807</v>
          </cell>
          <cell r="C2458">
            <v>9</v>
          </cell>
        </row>
        <row r="2459">
          <cell r="B2459">
            <v>40808</v>
          </cell>
          <cell r="C2459">
            <v>9</v>
          </cell>
        </row>
        <row r="2460">
          <cell r="B2460">
            <v>40809</v>
          </cell>
          <cell r="C2460">
            <v>9</v>
          </cell>
        </row>
        <row r="2461">
          <cell r="B2461">
            <v>40810</v>
          </cell>
          <cell r="C2461">
            <v>9</v>
          </cell>
        </row>
        <row r="2462">
          <cell r="B2462">
            <v>40811</v>
          </cell>
          <cell r="C2462">
            <v>9</v>
          </cell>
        </row>
        <row r="2463">
          <cell r="B2463">
            <v>40812</v>
          </cell>
          <cell r="C2463">
            <v>9</v>
          </cell>
        </row>
        <row r="2464">
          <cell r="B2464">
            <v>40813</v>
          </cell>
          <cell r="C2464">
            <v>9</v>
          </cell>
        </row>
        <row r="2465">
          <cell r="B2465">
            <v>40814</v>
          </cell>
          <cell r="C2465">
            <v>9</v>
          </cell>
        </row>
        <row r="2466">
          <cell r="B2466">
            <v>40815</v>
          </cell>
          <cell r="C2466">
            <v>9</v>
          </cell>
        </row>
        <row r="2467">
          <cell r="B2467">
            <v>40816</v>
          </cell>
          <cell r="C2467">
            <v>9</v>
          </cell>
        </row>
        <row r="2468">
          <cell r="B2468">
            <v>40817</v>
          </cell>
          <cell r="C2468">
            <v>10</v>
          </cell>
        </row>
        <row r="2469">
          <cell r="B2469">
            <v>40818</v>
          </cell>
          <cell r="C2469">
            <v>10</v>
          </cell>
        </row>
        <row r="2470">
          <cell r="B2470">
            <v>40819</v>
          </cell>
          <cell r="C2470">
            <v>10</v>
          </cell>
        </row>
        <row r="2471">
          <cell r="B2471">
            <v>40820</v>
          </cell>
          <cell r="C2471">
            <v>10</v>
          </cell>
        </row>
        <row r="2472">
          <cell r="B2472">
            <v>40821</v>
          </cell>
          <cell r="C2472">
            <v>10</v>
          </cell>
        </row>
        <row r="2473">
          <cell r="B2473">
            <v>40822</v>
          </cell>
          <cell r="C2473">
            <v>10</v>
          </cell>
        </row>
        <row r="2474">
          <cell r="B2474">
            <v>40823</v>
          </cell>
          <cell r="C2474">
            <v>10</v>
          </cell>
        </row>
        <row r="2475">
          <cell r="B2475">
            <v>40824</v>
          </cell>
          <cell r="C2475">
            <v>10</v>
          </cell>
        </row>
        <row r="2476">
          <cell r="B2476">
            <v>40825</v>
          </cell>
          <cell r="C2476">
            <v>10</v>
          </cell>
        </row>
        <row r="2477">
          <cell r="B2477">
            <v>40826</v>
          </cell>
          <cell r="C2477">
            <v>10</v>
          </cell>
        </row>
        <row r="2478">
          <cell r="B2478">
            <v>40827</v>
          </cell>
          <cell r="C2478">
            <v>10</v>
          </cell>
        </row>
        <row r="2479">
          <cell r="B2479">
            <v>40828</v>
          </cell>
          <cell r="C2479">
            <v>10</v>
          </cell>
        </row>
        <row r="2480">
          <cell r="B2480">
            <v>40829</v>
          </cell>
          <cell r="C2480">
            <v>10</v>
          </cell>
        </row>
        <row r="2481">
          <cell r="B2481">
            <v>40830</v>
          </cell>
          <cell r="C2481">
            <v>10</v>
          </cell>
        </row>
        <row r="2482">
          <cell r="B2482">
            <v>40831</v>
          </cell>
          <cell r="C2482">
            <v>10</v>
          </cell>
        </row>
        <row r="2483">
          <cell r="B2483">
            <v>40832</v>
          </cell>
          <cell r="C2483">
            <v>10</v>
          </cell>
        </row>
        <row r="2484">
          <cell r="B2484">
            <v>40833</v>
          </cell>
          <cell r="C2484">
            <v>10</v>
          </cell>
        </row>
        <row r="2485">
          <cell r="B2485">
            <v>40834</v>
          </cell>
          <cell r="C2485">
            <v>10</v>
          </cell>
        </row>
        <row r="2486">
          <cell r="B2486">
            <v>40835</v>
          </cell>
          <cell r="C2486">
            <v>10</v>
          </cell>
        </row>
        <row r="2487">
          <cell r="B2487">
            <v>40836</v>
          </cell>
          <cell r="C2487">
            <v>10</v>
          </cell>
        </row>
        <row r="2488">
          <cell r="B2488">
            <v>40837</v>
          </cell>
          <cell r="C2488">
            <v>10</v>
          </cell>
        </row>
        <row r="2489">
          <cell r="B2489">
            <v>40838</v>
          </cell>
          <cell r="C2489">
            <v>10</v>
          </cell>
        </row>
        <row r="2490">
          <cell r="B2490">
            <v>40839</v>
          </cell>
          <cell r="C2490">
            <v>10</v>
          </cell>
        </row>
        <row r="2491">
          <cell r="B2491">
            <v>40840</v>
          </cell>
          <cell r="C2491">
            <v>10</v>
          </cell>
        </row>
        <row r="2492">
          <cell r="B2492">
            <v>40841</v>
          </cell>
          <cell r="C2492">
            <v>10</v>
          </cell>
        </row>
        <row r="2493">
          <cell r="B2493">
            <v>40842</v>
          </cell>
          <cell r="C2493">
            <v>10</v>
          </cell>
        </row>
        <row r="2494">
          <cell r="B2494">
            <v>40843</v>
          </cell>
          <cell r="C2494">
            <v>10</v>
          </cell>
        </row>
        <row r="2495">
          <cell r="B2495">
            <v>40844</v>
          </cell>
          <cell r="C2495">
            <v>10</v>
          </cell>
        </row>
        <row r="2496">
          <cell r="B2496">
            <v>40845</v>
          </cell>
          <cell r="C2496">
            <v>10</v>
          </cell>
        </row>
        <row r="2497">
          <cell r="B2497">
            <v>40846</v>
          </cell>
          <cell r="C2497">
            <v>10</v>
          </cell>
        </row>
        <row r="2498">
          <cell r="B2498">
            <v>40847</v>
          </cell>
          <cell r="C2498">
            <v>10</v>
          </cell>
        </row>
        <row r="2499">
          <cell r="B2499">
            <v>40848</v>
          </cell>
          <cell r="C2499">
            <v>11</v>
          </cell>
        </row>
        <row r="2500">
          <cell r="B2500">
            <v>40849</v>
          </cell>
          <cell r="C2500">
            <v>11</v>
          </cell>
        </row>
        <row r="2501">
          <cell r="B2501">
            <v>40850</v>
          </cell>
          <cell r="C2501">
            <v>11</v>
          </cell>
        </row>
        <row r="2502">
          <cell r="B2502">
            <v>40851</v>
          </cell>
          <cell r="C2502">
            <v>11</v>
          </cell>
        </row>
        <row r="2503">
          <cell r="B2503">
            <v>40852</v>
          </cell>
          <cell r="C2503">
            <v>11</v>
          </cell>
        </row>
        <row r="2504">
          <cell r="B2504">
            <v>40853</v>
          </cell>
          <cell r="C2504">
            <v>11</v>
          </cell>
        </row>
        <row r="2505">
          <cell r="B2505">
            <v>40854</v>
          </cell>
          <cell r="C2505">
            <v>11</v>
          </cell>
        </row>
        <row r="2506">
          <cell r="B2506">
            <v>40855</v>
          </cell>
          <cell r="C2506">
            <v>11</v>
          </cell>
        </row>
        <row r="2507">
          <cell r="B2507">
            <v>40856</v>
          </cell>
          <cell r="C2507">
            <v>11</v>
          </cell>
        </row>
        <row r="2508">
          <cell r="B2508">
            <v>40857</v>
          </cell>
          <cell r="C2508">
            <v>11</v>
          </cell>
        </row>
        <row r="2509">
          <cell r="B2509">
            <v>40858</v>
          </cell>
          <cell r="C2509">
            <v>11</v>
          </cell>
        </row>
        <row r="2510">
          <cell r="B2510">
            <v>40859</v>
          </cell>
          <cell r="C2510">
            <v>11</v>
          </cell>
        </row>
        <row r="2511">
          <cell r="B2511">
            <v>40860</v>
          </cell>
          <cell r="C2511">
            <v>11</v>
          </cell>
        </row>
        <row r="2512">
          <cell r="B2512">
            <v>40861</v>
          </cell>
          <cell r="C2512">
            <v>11</v>
          </cell>
        </row>
        <row r="2513">
          <cell r="B2513">
            <v>40862</v>
          </cell>
          <cell r="C2513">
            <v>11</v>
          </cell>
        </row>
        <row r="2514">
          <cell r="B2514">
            <v>40863</v>
          </cell>
          <cell r="C2514">
            <v>11</v>
          </cell>
        </row>
        <row r="2515">
          <cell r="B2515">
            <v>40864</v>
          </cell>
          <cell r="C2515">
            <v>11</v>
          </cell>
        </row>
        <row r="2516">
          <cell r="B2516">
            <v>40865</v>
          </cell>
          <cell r="C2516">
            <v>11</v>
          </cell>
        </row>
        <row r="2517">
          <cell r="B2517">
            <v>40866</v>
          </cell>
          <cell r="C2517">
            <v>11</v>
          </cell>
        </row>
        <row r="2518">
          <cell r="B2518">
            <v>40867</v>
          </cell>
          <cell r="C2518">
            <v>11</v>
          </cell>
        </row>
        <row r="2519">
          <cell r="B2519">
            <v>40868</v>
          </cell>
          <cell r="C2519">
            <v>11</v>
          </cell>
        </row>
        <row r="2520">
          <cell r="B2520">
            <v>40869</v>
          </cell>
          <cell r="C2520">
            <v>11</v>
          </cell>
        </row>
        <row r="2521">
          <cell r="B2521">
            <v>40870</v>
          </cell>
          <cell r="C2521">
            <v>11</v>
          </cell>
        </row>
        <row r="2522">
          <cell r="B2522">
            <v>40871</v>
          </cell>
          <cell r="C2522">
            <v>11</v>
          </cell>
        </row>
        <row r="2523">
          <cell r="B2523">
            <v>40872</v>
          </cell>
          <cell r="C2523">
            <v>11</v>
          </cell>
        </row>
        <row r="2524">
          <cell r="B2524">
            <v>40873</v>
          </cell>
          <cell r="C2524">
            <v>11</v>
          </cell>
        </row>
        <row r="2525">
          <cell r="B2525">
            <v>40874</v>
          </cell>
          <cell r="C2525">
            <v>11</v>
          </cell>
        </row>
        <row r="2526">
          <cell r="B2526">
            <v>40875</v>
          </cell>
          <cell r="C2526">
            <v>11</v>
          </cell>
        </row>
        <row r="2527">
          <cell r="B2527">
            <v>40876</v>
          </cell>
          <cell r="C2527">
            <v>11</v>
          </cell>
        </row>
        <row r="2528">
          <cell r="B2528">
            <v>40877</v>
          </cell>
          <cell r="C2528">
            <v>11</v>
          </cell>
        </row>
        <row r="2529">
          <cell r="B2529">
            <v>40878</v>
          </cell>
          <cell r="C2529">
            <v>12</v>
          </cell>
        </row>
        <row r="2530">
          <cell r="B2530">
            <v>40879</v>
          </cell>
          <cell r="C2530">
            <v>12</v>
          </cell>
        </row>
        <row r="2531">
          <cell r="B2531">
            <v>40880</v>
          </cell>
          <cell r="C2531">
            <v>12</v>
          </cell>
        </row>
        <row r="2532">
          <cell r="B2532">
            <v>40881</v>
          </cell>
          <cell r="C2532">
            <v>12</v>
          </cell>
        </row>
        <row r="2533">
          <cell r="B2533">
            <v>40882</v>
          </cell>
          <cell r="C2533">
            <v>12</v>
          </cell>
        </row>
        <row r="2534">
          <cell r="B2534">
            <v>40883</v>
          </cell>
          <cell r="C2534">
            <v>12</v>
          </cell>
        </row>
        <row r="2535">
          <cell r="B2535">
            <v>40884</v>
          </cell>
          <cell r="C2535">
            <v>12</v>
          </cell>
        </row>
        <row r="2536">
          <cell r="B2536">
            <v>40885</v>
          </cell>
          <cell r="C2536">
            <v>12</v>
          </cell>
        </row>
        <row r="2537">
          <cell r="B2537">
            <v>40886</v>
          </cell>
          <cell r="C2537">
            <v>12</v>
          </cell>
        </row>
        <row r="2538">
          <cell r="B2538">
            <v>40887</v>
          </cell>
          <cell r="C2538">
            <v>12</v>
          </cell>
        </row>
        <row r="2539">
          <cell r="B2539">
            <v>40888</v>
          </cell>
          <cell r="C2539">
            <v>12</v>
          </cell>
        </row>
        <row r="2540">
          <cell r="B2540">
            <v>40889</v>
          </cell>
          <cell r="C2540">
            <v>12</v>
          </cell>
        </row>
        <row r="2541">
          <cell r="B2541">
            <v>40890</v>
          </cell>
          <cell r="C2541">
            <v>12</v>
          </cell>
        </row>
        <row r="2542">
          <cell r="B2542">
            <v>40891</v>
          </cell>
          <cell r="C2542">
            <v>12</v>
          </cell>
        </row>
        <row r="2543">
          <cell r="B2543">
            <v>40892</v>
          </cell>
          <cell r="C2543">
            <v>12</v>
          </cell>
        </row>
        <row r="2544">
          <cell r="B2544">
            <v>40893</v>
          </cell>
          <cell r="C2544">
            <v>12</v>
          </cell>
        </row>
        <row r="2545">
          <cell r="B2545">
            <v>40894</v>
          </cell>
          <cell r="C2545">
            <v>12</v>
          </cell>
        </row>
        <row r="2546">
          <cell r="B2546">
            <v>40895</v>
          </cell>
          <cell r="C2546">
            <v>12</v>
          </cell>
        </row>
        <row r="2547">
          <cell r="B2547">
            <v>40896</v>
          </cell>
          <cell r="C2547">
            <v>12</v>
          </cell>
        </row>
        <row r="2548">
          <cell r="B2548">
            <v>40897</v>
          </cell>
          <cell r="C2548">
            <v>12</v>
          </cell>
        </row>
        <row r="2549">
          <cell r="B2549">
            <v>40898</v>
          </cell>
          <cell r="C2549">
            <v>12</v>
          </cell>
        </row>
        <row r="2550">
          <cell r="B2550">
            <v>40899</v>
          </cell>
          <cell r="C2550">
            <v>12</v>
          </cell>
        </row>
        <row r="2551">
          <cell r="B2551">
            <v>40900</v>
          </cell>
          <cell r="C2551">
            <v>12</v>
          </cell>
        </row>
        <row r="2552">
          <cell r="B2552">
            <v>40901</v>
          </cell>
          <cell r="C2552">
            <v>12</v>
          </cell>
        </row>
        <row r="2553">
          <cell r="B2553">
            <v>40902</v>
          </cell>
          <cell r="C2553">
            <v>12</v>
          </cell>
        </row>
        <row r="2554">
          <cell r="B2554">
            <v>40903</v>
          </cell>
          <cell r="C2554">
            <v>12</v>
          </cell>
        </row>
        <row r="2555">
          <cell r="B2555">
            <v>40904</v>
          </cell>
          <cell r="C2555">
            <v>12</v>
          </cell>
        </row>
        <row r="2556">
          <cell r="B2556">
            <v>40905</v>
          </cell>
          <cell r="C2556">
            <v>12</v>
          </cell>
        </row>
        <row r="2557">
          <cell r="B2557">
            <v>40906</v>
          </cell>
          <cell r="C2557">
            <v>12</v>
          </cell>
        </row>
        <row r="2558">
          <cell r="B2558">
            <v>40907</v>
          </cell>
          <cell r="C2558">
            <v>12</v>
          </cell>
        </row>
        <row r="2559">
          <cell r="B2559">
            <v>40908</v>
          </cell>
          <cell r="C2559">
            <v>12</v>
          </cell>
        </row>
        <row r="2560">
          <cell r="B2560">
            <v>40909</v>
          </cell>
          <cell r="C2560">
            <v>1</v>
          </cell>
        </row>
        <row r="2561">
          <cell r="B2561">
            <v>40910</v>
          </cell>
          <cell r="C2561">
            <v>1</v>
          </cell>
        </row>
        <row r="2562">
          <cell r="B2562">
            <v>40911</v>
          </cell>
          <cell r="C2562">
            <v>1</v>
          </cell>
        </row>
        <row r="2563">
          <cell r="B2563">
            <v>40912</v>
          </cell>
          <cell r="C2563">
            <v>1</v>
          </cell>
        </row>
        <row r="2564">
          <cell r="B2564">
            <v>40913</v>
          </cell>
          <cell r="C2564">
            <v>1</v>
          </cell>
        </row>
        <row r="2565">
          <cell r="B2565">
            <v>40914</v>
          </cell>
          <cell r="C2565">
            <v>1</v>
          </cell>
        </row>
        <row r="2566">
          <cell r="B2566">
            <v>40915</v>
          </cell>
          <cell r="C2566">
            <v>1</v>
          </cell>
        </row>
        <row r="2567">
          <cell r="B2567">
            <v>40916</v>
          </cell>
          <cell r="C2567">
            <v>1</v>
          </cell>
        </row>
        <row r="2568">
          <cell r="B2568">
            <v>40917</v>
          </cell>
          <cell r="C2568">
            <v>1</v>
          </cell>
        </row>
        <row r="2569">
          <cell r="B2569">
            <v>40918</v>
          </cell>
          <cell r="C2569">
            <v>1</v>
          </cell>
        </row>
        <row r="2570">
          <cell r="B2570">
            <v>40919</v>
          </cell>
          <cell r="C2570">
            <v>1</v>
          </cell>
        </row>
        <row r="2571">
          <cell r="B2571">
            <v>40920</v>
          </cell>
          <cell r="C2571">
            <v>1</v>
          </cell>
        </row>
        <row r="2572">
          <cell r="B2572">
            <v>40921</v>
          </cell>
          <cell r="C2572">
            <v>1</v>
          </cell>
        </row>
        <row r="2573">
          <cell r="B2573">
            <v>40922</v>
          </cell>
          <cell r="C2573">
            <v>1</v>
          </cell>
        </row>
        <row r="2574">
          <cell r="B2574">
            <v>40923</v>
          </cell>
          <cell r="C2574">
            <v>1</v>
          </cell>
        </row>
        <row r="2575">
          <cell r="B2575">
            <v>40924</v>
          </cell>
          <cell r="C2575">
            <v>1</v>
          </cell>
        </row>
        <row r="2576">
          <cell r="B2576">
            <v>40925</v>
          </cell>
          <cell r="C2576">
            <v>1</v>
          </cell>
        </row>
        <row r="2577">
          <cell r="B2577">
            <v>40926</v>
          </cell>
          <cell r="C2577">
            <v>1</v>
          </cell>
        </row>
        <row r="2578">
          <cell r="B2578">
            <v>40927</v>
          </cell>
          <cell r="C2578">
            <v>1</v>
          </cell>
        </row>
        <row r="2579">
          <cell r="B2579">
            <v>40928</v>
          </cell>
          <cell r="C2579">
            <v>1</v>
          </cell>
        </row>
        <row r="2580">
          <cell r="B2580">
            <v>40929</v>
          </cell>
          <cell r="C2580">
            <v>1</v>
          </cell>
        </row>
        <row r="2581">
          <cell r="B2581">
            <v>40930</v>
          </cell>
          <cell r="C2581">
            <v>1</v>
          </cell>
        </row>
        <row r="2582">
          <cell r="B2582">
            <v>40931</v>
          </cell>
          <cell r="C2582">
            <v>1</v>
          </cell>
        </row>
        <row r="2583">
          <cell r="B2583">
            <v>40932</v>
          </cell>
          <cell r="C2583">
            <v>1</v>
          </cell>
        </row>
        <row r="2584">
          <cell r="B2584">
            <v>40933</v>
          </cell>
          <cell r="C2584">
            <v>1</v>
          </cell>
        </row>
        <row r="2585">
          <cell r="B2585">
            <v>40934</v>
          </cell>
          <cell r="C2585">
            <v>1</v>
          </cell>
        </row>
        <row r="2586">
          <cell r="B2586">
            <v>40935</v>
          </cell>
          <cell r="C2586">
            <v>1</v>
          </cell>
        </row>
        <row r="2587">
          <cell r="B2587">
            <v>40936</v>
          </cell>
          <cell r="C2587">
            <v>1</v>
          </cell>
        </row>
        <row r="2588">
          <cell r="B2588">
            <v>40937</v>
          </cell>
          <cell r="C2588">
            <v>1</v>
          </cell>
        </row>
        <row r="2589">
          <cell r="B2589">
            <v>40938</v>
          </cell>
          <cell r="C2589">
            <v>1</v>
          </cell>
        </row>
        <row r="2590">
          <cell r="B2590">
            <v>40939</v>
          </cell>
          <cell r="C2590">
            <v>1</v>
          </cell>
        </row>
        <row r="2591">
          <cell r="B2591">
            <v>40940</v>
          </cell>
          <cell r="C2591">
            <v>2</v>
          </cell>
        </row>
        <row r="2592">
          <cell r="B2592">
            <v>40941</v>
          </cell>
          <cell r="C2592">
            <v>2</v>
          </cell>
        </row>
        <row r="2593">
          <cell r="B2593">
            <v>40942</v>
          </cell>
          <cell r="C2593">
            <v>2</v>
          </cell>
        </row>
        <row r="2594">
          <cell r="B2594">
            <v>40943</v>
          </cell>
          <cell r="C2594">
            <v>2</v>
          </cell>
        </row>
        <row r="2595">
          <cell r="B2595">
            <v>40944</v>
          </cell>
          <cell r="C2595">
            <v>2</v>
          </cell>
        </row>
        <row r="2596">
          <cell r="B2596">
            <v>40945</v>
          </cell>
          <cell r="C2596">
            <v>2</v>
          </cell>
        </row>
        <row r="2597">
          <cell r="B2597">
            <v>40946</v>
          </cell>
          <cell r="C2597">
            <v>2</v>
          </cell>
        </row>
        <row r="2598">
          <cell r="B2598">
            <v>40947</v>
          </cell>
          <cell r="C2598">
            <v>2</v>
          </cell>
        </row>
        <row r="2599">
          <cell r="B2599">
            <v>40948</v>
          </cell>
          <cell r="C2599">
            <v>2</v>
          </cell>
        </row>
        <row r="2600">
          <cell r="B2600">
            <v>40949</v>
          </cell>
          <cell r="C2600">
            <v>2</v>
          </cell>
        </row>
        <row r="2601">
          <cell r="B2601">
            <v>40950</v>
          </cell>
          <cell r="C2601">
            <v>2</v>
          </cell>
        </row>
        <row r="2602">
          <cell r="B2602">
            <v>40951</v>
          </cell>
          <cell r="C2602">
            <v>2</v>
          </cell>
        </row>
        <row r="2603">
          <cell r="B2603">
            <v>40952</v>
          </cell>
          <cell r="C2603">
            <v>2</v>
          </cell>
        </row>
        <row r="2604">
          <cell r="B2604">
            <v>40953</v>
          </cell>
          <cell r="C2604">
            <v>2</v>
          </cell>
        </row>
        <row r="2605">
          <cell r="B2605">
            <v>40954</v>
          </cell>
          <cell r="C2605">
            <v>2</v>
          </cell>
        </row>
        <row r="2606">
          <cell r="B2606">
            <v>40955</v>
          </cell>
          <cell r="C2606">
            <v>2</v>
          </cell>
        </row>
        <row r="2607">
          <cell r="B2607">
            <v>40956</v>
          </cell>
          <cell r="C2607">
            <v>2</v>
          </cell>
        </row>
        <row r="2608">
          <cell r="B2608">
            <v>40957</v>
          </cell>
          <cell r="C2608">
            <v>2</v>
          </cell>
        </row>
        <row r="2609">
          <cell r="B2609">
            <v>40958</v>
          </cell>
          <cell r="C2609">
            <v>2</v>
          </cell>
        </row>
        <row r="2610">
          <cell r="B2610">
            <v>40959</v>
          </cell>
          <cell r="C2610">
            <v>2</v>
          </cell>
        </row>
        <row r="2611">
          <cell r="B2611">
            <v>40960</v>
          </cell>
          <cell r="C2611">
            <v>2</v>
          </cell>
        </row>
        <row r="2612">
          <cell r="B2612">
            <v>40961</v>
          </cell>
          <cell r="C2612">
            <v>2</v>
          </cell>
        </row>
        <row r="2613">
          <cell r="B2613">
            <v>40962</v>
          </cell>
          <cell r="C2613">
            <v>2</v>
          </cell>
        </row>
        <row r="2614">
          <cell r="B2614">
            <v>40963</v>
          </cell>
          <cell r="C2614">
            <v>2</v>
          </cell>
        </row>
        <row r="2615">
          <cell r="B2615">
            <v>40964</v>
          </cell>
          <cell r="C2615">
            <v>2</v>
          </cell>
        </row>
        <row r="2616">
          <cell r="B2616">
            <v>40965</v>
          </cell>
          <cell r="C2616">
            <v>2</v>
          </cell>
        </row>
        <row r="2617">
          <cell r="B2617">
            <v>40966</v>
          </cell>
          <cell r="C2617">
            <v>2</v>
          </cell>
        </row>
        <row r="2618">
          <cell r="B2618">
            <v>40967</v>
          </cell>
          <cell r="C2618">
            <v>2</v>
          </cell>
        </row>
        <row r="2619">
          <cell r="B2619">
            <v>40968</v>
          </cell>
          <cell r="C2619">
            <v>2</v>
          </cell>
        </row>
        <row r="2620">
          <cell r="B2620">
            <v>40969</v>
          </cell>
          <cell r="C2620">
            <v>3</v>
          </cell>
        </row>
        <row r="2621">
          <cell r="B2621">
            <v>40970</v>
          </cell>
          <cell r="C2621">
            <v>3</v>
          </cell>
        </row>
        <row r="2622">
          <cell r="B2622">
            <v>40971</v>
          </cell>
          <cell r="C2622">
            <v>3</v>
          </cell>
        </row>
        <row r="2623">
          <cell r="B2623">
            <v>40972</v>
          </cell>
          <cell r="C2623">
            <v>3</v>
          </cell>
        </row>
        <row r="2624">
          <cell r="B2624">
            <v>40973</v>
          </cell>
          <cell r="C2624">
            <v>3</v>
          </cell>
        </row>
        <row r="2625">
          <cell r="B2625">
            <v>40974</v>
          </cell>
          <cell r="C2625">
            <v>3</v>
          </cell>
        </row>
        <row r="2626">
          <cell r="B2626">
            <v>40975</v>
          </cell>
          <cell r="C2626">
            <v>3</v>
          </cell>
        </row>
        <row r="2627">
          <cell r="B2627">
            <v>40976</v>
          </cell>
          <cell r="C2627">
            <v>3</v>
          </cell>
        </row>
        <row r="2628">
          <cell r="B2628">
            <v>40977</v>
          </cell>
          <cell r="C2628">
            <v>3</v>
          </cell>
        </row>
        <row r="2629">
          <cell r="B2629">
            <v>40978</v>
          </cell>
          <cell r="C2629">
            <v>3</v>
          </cell>
        </row>
        <row r="2630">
          <cell r="B2630">
            <v>40979</v>
          </cell>
          <cell r="C2630">
            <v>3</v>
          </cell>
        </row>
        <row r="2631">
          <cell r="B2631">
            <v>40980</v>
          </cell>
          <cell r="C2631">
            <v>3</v>
          </cell>
        </row>
        <row r="2632">
          <cell r="B2632">
            <v>40981</v>
          </cell>
          <cell r="C2632">
            <v>3</v>
          </cell>
        </row>
        <row r="2633">
          <cell r="B2633">
            <v>40982</v>
          </cell>
          <cell r="C2633">
            <v>3</v>
          </cell>
        </row>
        <row r="2634">
          <cell r="B2634">
            <v>40983</v>
          </cell>
          <cell r="C2634">
            <v>3</v>
          </cell>
        </row>
        <row r="2635">
          <cell r="B2635">
            <v>40984</v>
          </cell>
          <cell r="C2635">
            <v>3</v>
          </cell>
        </row>
        <row r="2636">
          <cell r="B2636">
            <v>40985</v>
          </cell>
          <cell r="C2636">
            <v>3</v>
          </cell>
        </row>
        <row r="2637">
          <cell r="B2637">
            <v>40986</v>
          </cell>
          <cell r="C2637">
            <v>3</v>
          </cell>
        </row>
        <row r="2638">
          <cell r="B2638">
            <v>40987</v>
          </cell>
          <cell r="C2638">
            <v>3</v>
          </cell>
        </row>
        <row r="2639">
          <cell r="B2639">
            <v>40988</v>
          </cell>
          <cell r="C2639">
            <v>3</v>
          </cell>
        </row>
        <row r="2640">
          <cell r="B2640">
            <v>40989</v>
          </cell>
          <cell r="C2640">
            <v>3</v>
          </cell>
        </row>
        <row r="2641">
          <cell r="B2641">
            <v>40990</v>
          </cell>
          <cell r="C2641">
            <v>3</v>
          </cell>
        </row>
        <row r="2642">
          <cell r="B2642">
            <v>40991</v>
          </cell>
          <cell r="C2642">
            <v>3</v>
          </cell>
        </row>
        <row r="2643">
          <cell r="B2643">
            <v>40992</v>
          </cell>
          <cell r="C2643">
            <v>3</v>
          </cell>
        </row>
        <row r="2644">
          <cell r="B2644">
            <v>40993</v>
          </cell>
          <cell r="C2644">
            <v>3</v>
          </cell>
        </row>
        <row r="2645">
          <cell r="B2645">
            <v>40994</v>
          </cell>
          <cell r="C2645">
            <v>3</v>
          </cell>
        </row>
        <row r="2646">
          <cell r="B2646">
            <v>40995</v>
          </cell>
          <cell r="C2646">
            <v>3</v>
          </cell>
        </row>
        <row r="2647">
          <cell r="B2647">
            <v>40996</v>
          </cell>
          <cell r="C2647">
            <v>3</v>
          </cell>
        </row>
        <row r="2648">
          <cell r="B2648">
            <v>40997</v>
          </cell>
          <cell r="C2648">
            <v>3</v>
          </cell>
        </row>
        <row r="2649">
          <cell r="B2649">
            <v>40998</v>
          </cell>
          <cell r="C2649">
            <v>3</v>
          </cell>
        </row>
        <row r="2650">
          <cell r="B2650">
            <v>40999</v>
          </cell>
          <cell r="C2650">
            <v>3</v>
          </cell>
        </row>
        <row r="2651">
          <cell r="B2651">
            <v>41000</v>
          </cell>
          <cell r="C2651">
            <v>4</v>
          </cell>
        </row>
        <row r="2652">
          <cell r="B2652">
            <v>41001</v>
          </cell>
          <cell r="C2652">
            <v>4</v>
          </cell>
        </row>
        <row r="2653">
          <cell r="B2653">
            <v>41002</v>
          </cell>
          <cell r="C2653">
            <v>4</v>
          </cell>
        </row>
        <row r="2654">
          <cell r="B2654">
            <v>41003</v>
          </cell>
          <cell r="C2654">
            <v>4</v>
          </cell>
        </row>
        <row r="2655">
          <cell r="B2655">
            <v>41004</v>
          </cell>
          <cell r="C2655">
            <v>4</v>
          </cell>
        </row>
        <row r="2656">
          <cell r="B2656">
            <v>41005</v>
          </cell>
          <cell r="C2656">
            <v>4</v>
          </cell>
        </row>
        <row r="2657">
          <cell r="B2657">
            <v>41006</v>
          </cell>
          <cell r="C2657">
            <v>4</v>
          </cell>
        </row>
        <row r="2658">
          <cell r="B2658">
            <v>41007</v>
          </cell>
          <cell r="C2658">
            <v>4</v>
          </cell>
        </row>
        <row r="2659">
          <cell r="B2659">
            <v>41008</v>
          </cell>
          <cell r="C2659">
            <v>4</v>
          </cell>
        </row>
        <row r="2660">
          <cell r="B2660">
            <v>41009</v>
          </cell>
          <cell r="C2660">
            <v>4</v>
          </cell>
        </row>
        <row r="2661">
          <cell r="B2661">
            <v>41010</v>
          </cell>
          <cell r="C2661">
            <v>4</v>
          </cell>
        </row>
        <row r="2662">
          <cell r="B2662">
            <v>41011</v>
          </cell>
          <cell r="C2662">
            <v>4</v>
          </cell>
        </row>
        <row r="2663">
          <cell r="B2663">
            <v>41012</v>
          </cell>
          <cell r="C2663">
            <v>4</v>
          </cell>
        </row>
        <row r="2664">
          <cell r="B2664">
            <v>41013</v>
          </cell>
          <cell r="C2664">
            <v>4</v>
          </cell>
        </row>
        <row r="2665">
          <cell r="B2665">
            <v>41014</v>
          </cell>
          <cell r="C2665">
            <v>4</v>
          </cell>
        </row>
        <row r="2666">
          <cell r="B2666">
            <v>41015</v>
          </cell>
          <cell r="C2666">
            <v>4</v>
          </cell>
        </row>
        <row r="2667">
          <cell r="B2667">
            <v>41016</v>
          </cell>
          <cell r="C2667">
            <v>4</v>
          </cell>
        </row>
        <row r="2668">
          <cell r="B2668">
            <v>41017</v>
          </cell>
          <cell r="C2668">
            <v>4</v>
          </cell>
        </row>
        <row r="2669">
          <cell r="B2669">
            <v>41018</v>
          </cell>
          <cell r="C2669">
            <v>4</v>
          </cell>
        </row>
        <row r="2670">
          <cell r="B2670">
            <v>41019</v>
          </cell>
          <cell r="C2670">
            <v>4</v>
          </cell>
        </row>
        <row r="2671">
          <cell r="B2671">
            <v>41020</v>
          </cell>
          <cell r="C2671">
            <v>4</v>
          </cell>
        </row>
        <row r="2672">
          <cell r="B2672">
            <v>41021</v>
          </cell>
          <cell r="C2672">
            <v>4</v>
          </cell>
        </row>
        <row r="2673">
          <cell r="B2673">
            <v>41022</v>
          </cell>
          <cell r="C2673">
            <v>4</v>
          </cell>
        </row>
        <row r="2674">
          <cell r="B2674">
            <v>41023</v>
          </cell>
          <cell r="C2674">
            <v>4</v>
          </cell>
        </row>
        <row r="2675">
          <cell r="B2675">
            <v>41024</v>
          </cell>
          <cell r="C2675">
            <v>4</v>
          </cell>
        </row>
        <row r="2676">
          <cell r="B2676">
            <v>41025</v>
          </cell>
          <cell r="C2676">
            <v>4</v>
          </cell>
        </row>
        <row r="2677">
          <cell r="B2677">
            <v>41026</v>
          </cell>
          <cell r="C2677">
            <v>4</v>
          </cell>
        </row>
        <row r="2678">
          <cell r="B2678">
            <v>41027</v>
          </cell>
          <cell r="C2678">
            <v>4</v>
          </cell>
        </row>
        <row r="2679">
          <cell r="B2679">
            <v>41028</v>
          </cell>
          <cell r="C2679">
            <v>4</v>
          </cell>
        </row>
        <row r="2680">
          <cell r="B2680">
            <v>41029</v>
          </cell>
          <cell r="C2680">
            <v>4</v>
          </cell>
        </row>
        <row r="2681">
          <cell r="B2681">
            <v>41030</v>
          </cell>
          <cell r="C2681">
            <v>5</v>
          </cell>
        </row>
        <row r="2682">
          <cell r="B2682">
            <v>41031</v>
          </cell>
          <cell r="C2682">
            <v>5</v>
          </cell>
        </row>
        <row r="2683">
          <cell r="B2683">
            <v>41032</v>
          </cell>
          <cell r="C2683">
            <v>5</v>
          </cell>
        </row>
        <row r="2684">
          <cell r="B2684">
            <v>41033</v>
          </cell>
          <cell r="C2684">
            <v>5</v>
          </cell>
        </row>
        <row r="2685">
          <cell r="B2685">
            <v>41034</v>
          </cell>
          <cell r="C2685">
            <v>5</v>
          </cell>
        </row>
        <row r="2686">
          <cell r="B2686">
            <v>41035</v>
          </cell>
          <cell r="C2686">
            <v>5</v>
          </cell>
        </row>
        <row r="2687">
          <cell r="B2687">
            <v>41036</v>
          </cell>
          <cell r="C2687">
            <v>5</v>
          </cell>
        </row>
        <row r="2688">
          <cell r="B2688">
            <v>41037</v>
          </cell>
          <cell r="C2688">
            <v>5</v>
          </cell>
        </row>
        <row r="2689">
          <cell r="B2689">
            <v>41038</v>
          </cell>
          <cell r="C2689">
            <v>5</v>
          </cell>
        </row>
        <row r="2690">
          <cell r="B2690">
            <v>41039</v>
          </cell>
          <cell r="C2690">
            <v>5</v>
          </cell>
        </row>
        <row r="2691">
          <cell r="B2691">
            <v>41040</v>
          </cell>
          <cell r="C2691">
            <v>5</v>
          </cell>
        </row>
        <row r="2692">
          <cell r="B2692">
            <v>41041</v>
          </cell>
          <cell r="C2692">
            <v>5</v>
          </cell>
        </row>
        <row r="2693">
          <cell r="B2693">
            <v>41042</v>
          </cell>
          <cell r="C2693">
            <v>5</v>
          </cell>
        </row>
        <row r="2694">
          <cell r="B2694">
            <v>41043</v>
          </cell>
          <cell r="C2694">
            <v>5</v>
          </cell>
        </row>
        <row r="2695">
          <cell r="B2695">
            <v>41044</v>
          </cell>
          <cell r="C2695">
            <v>5</v>
          </cell>
        </row>
        <row r="2696">
          <cell r="B2696">
            <v>41045</v>
          </cell>
          <cell r="C2696">
            <v>5</v>
          </cell>
        </row>
        <row r="2697">
          <cell r="B2697">
            <v>41046</v>
          </cell>
          <cell r="C2697">
            <v>5</v>
          </cell>
        </row>
        <row r="2698">
          <cell r="B2698">
            <v>41047</v>
          </cell>
          <cell r="C2698">
            <v>5</v>
          </cell>
        </row>
        <row r="2699">
          <cell r="B2699">
            <v>41048</v>
          </cell>
          <cell r="C2699">
            <v>5</v>
          </cell>
        </row>
        <row r="2700">
          <cell r="B2700">
            <v>41049</v>
          </cell>
          <cell r="C2700">
            <v>5</v>
          </cell>
        </row>
        <row r="2701">
          <cell r="B2701">
            <v>41050</v>
          </cell>
          <cell r="C2701">
            <v>5</v>
          </cell>
        </row>
        <row r="2702">
          <cell r="B2702">
            <v>41051</v>
          </cell>
          <cell r="C2702">
            <v>5</v>
          </cell>
        </row>
        <row r="2703">
          <cell r="B2703">
            <v>41052</v>
          </cell>
          <cell r="C2703">
            <v>5</v>
          </cell>
        </row>
        <row r="2704">
          <cell r="B2704">
            <v>41053</v>
          </cell>
          <cell r="C2704">
            <v>5</v>
          </cell>
        </row>
        <row r="2705">
          <cell r="B2705">
            <v>41054</v>
          </cell>
          <cell r="C2705">
            <v>5</v>
          </cell>
        </row>
        <row r="2706">
          <cell r="B2706">
            <v>41055</v>
          </cell>
          <cell r="C2706">
            <v>5</v>
          </cell>
        </row>
        <row r="2707">
          <cell r="B2707">
            <v>41056</v>
          </cell>
          <cell r="C2707">
            <v>5</v>
          </cell>
        </row>
        <row r="2708">
          <cell r="B2708">
            <v>41057</v>
          </cell>
          <cell r="C2708">
            <v>5</v>
          </cell>
        </row>
        <row r="2709">
          <cell r="B2709">
            <v>41058</v>
          </cell>
          <cell r="C2709">
            <v>5</v>
          </cell>
        </row>
        <row r="2710">
          <cell r="B2710">
            <v>41059</v>
          </cell>
          <cell r="C2710">
            <v>5</v>
          </cell>
        </row>
        <row r="2711">
          <cell r="B2711">
            <v>41060</v>
          </cell>
          <cell r="C2711">
            <v>5</v>
          </cell>
        </row>
        <row r="2712">
          <cell r="B2712">
            <v>41061</v>
          </cell>
          <cell r="C2712">
            <v>6</v>
          </cell>
        </row>
        <row r="2713">
          <cell r="B2713">
            <v>41062</v>
          </cell>
          <cell r="C2713">
            <v>6</v>
          </cell>
        </row>
        <row r="2714">
          <cell r="B2714">
            <v>41063</v>
          </cell>
          <cell r="C2714">
            <v>6</v>
          </cell>
        </row>
        <row r="2715">
          <cell r="B2715">
            <v>41064</v>
          </cell>
          <cell r="C2715">
            <v>6</v>
          </cell>
        </row>
        <row r="2716">
          <cell r="B2716">
            <v>41065</v>
          </cell>
          <cell r="C2716">
            <v>6</v>
          </cell>
        </row>
        <row r="2717">
          <cell r="B2717">
            <v>41066</v>
          </cell>
          <cell r="C2717">
            <v>6</v>
          </cell>
        </row>
        <row r="2718">
          <cell r="B2718">
            <v>41067</v>
          </cell>
          <cell r="C2718">
            <v>6</v>
          </cell>
        </row>
        <row r="2719">
          <cell r="B2719">
            <v>41068</v>
          </cell>
          <cell r="C2719">
            <v>6</v>
          </cell>
        </row>
        <row r="2720">
          <cell r="B2720">
            <v>41069</v>
          </cell>
          <cell r="C2720">
            <v>6</v>
          </cell>
        </row>
        <row r="2721">
          <cell r="B2721">
            <v>41070</v>
          </cell>
          <cell r="C2721">
            <v>6</v>
          </cell>
        </row>
        <row r="2722">
          <cell r="B2722">
            <v>41071</v>
          </cell>
          <cell r="C2722">
            <v>6</v>
          </cell>
        </row>
        <row r="2723">
          <cell r="B2723">
            <v>41072</v>
          </cell>
          <cell r="C2723">
            <v>6</v>
          </cell>
        </row>
        <row r="2724">
          <cell r="B2724">
            <v>41073</v>
          </cell>
          <cell r="C2724">
            <v>6</v>
          </cell>
        </row>
        <row r="2725">
          <cell r="B2725">
            <v>41074</v>
          </cell>
          <cell r="C2725">
            <v>6</v>
          </cell>
        </row>
        <row r="2726">
          <cell r="B2726">
            <v>41075</v>
          </cell>
          <cell r="C2726">
            <v>6</v>
          </cell>
        </row>
        <row r="2727">
          <cell r="B2727">
            <v>41076</v>
          </cell>
          <cell r="C2727">
            <v>6</v>
          </cell>
        </row>
        <row r="2728">
          <cell r="B2728">
            <v>41077</v>
          </cell>
          <cell r="C2728">
            <v>6</v>
          </cell>
        </row>
        <row r="2729">
          <cell r="B2729">
            <v>41078</v>
          </cell>
          <cell r="C2729">
            <v>6</v>
          </cell>
        </row>
        <row r="2730">
          <cell r="B2730">
            <v>41079</v>
          </cell>
          <cell r="C2730">
            <v>6</v>
          </cell>
        </row>
        <row r="2731">
          <cell r="B2731">
            <v>41080</v>
          </cell>
          <cell r="C2731">
            <v>6</v>
          </cell>
        </row>
        <row r="2732">
          <cell r="B2732">
            <v>41081</v>
          </cell>
          <cell r="C2732">
            <v>6</v>
          </cell>
        </row>
        <row r="2733">
          <cell r="B2733">
            <v>41082</v>
          </cell>
          <cell r="C2733">
            <v>6</v>
          </cell>
        </row>
        <row r="2734">
          <cell r="B2734">
            <v>41083</v>
          </cell>
          <cell r="C2734">
            <v>6</v>
          </cell>
        </row>
        <row r="2735">
          <cell r="B2735">
            <v>41084</v>
          </cell>
          <cell r="C2735">
            <v>6</v>
          </cell>
        </row>
        <row r="2736">
          <cell r="B2736">
            <v>41085</v>
          </cell>
          <cell r="C2736">
            <v>6</v>
          </cell>
        </row>
        <row r="2737">
          <cell r="B2737">
            <v>41086</v>
          </cell>
          <cell r="C2737">
            <v>6</v>
          </cell>
        </row>
        <row r="2738">
          <cell r="B2738">
            <v>41087</v>
          </cell>
          <cell r="C2738">
            <v>6</v>
          </cell>
        </row>
        <row r="2739">
          <cell r="B2739">
            <v>41088</v>
          </cell>
          <cell r="C2739">
            <v>6</v>
          </cell>
        </row>
        <row r="2740">
          <cell r="B2740">
            <v>41089</v>
          </cell>
          <cell r="C2740">
            <v>6</v>
          </cell>
        </row>
        <row r="2741">
          <cell r="B2741">
            <v>41090</v>
          </cell>
          <cell r="C2741">
            <v>6</v>
          </cell>
        </row>
        <row r="2742">
          <cell r="B2742">
            <v>41091</v>
          </cell>
          <cell r="C2742">
            <v>7</v>
          </cell>
        </row>
        <row r="2743">
          <cell r="B2743">
            <v>41092</v>
          </cell>
          <cell r="C2743">
            <v>7</v>
          </cell>
        </row>
        <row r="2744">
          <cell r="B2744">
            <v>41093</v>
          </cell>
          <cell r="C2744">
            <v>7</v>
          </cell>
        </row>
        <row r="2745">
          <cell r="B2745">
            <v>41094</v>
          </cell>
          <cell r="C2745">
            <v>7</v>
          </cell>
        </row>
        <row r="2746">
          <cell r="B2746">
            <v>41095</v>
          </cell>
          <cell r="C2746">
            <v>7</v>
          </cell>
        </row>
        <row r="2747">
          <cell r="B2747">
            <v>41096</v>
          </cell>
          <cell r="C2747">
            <v>7</v>
          </cell>
        </row>
        <row r="2748">
          <cell r="B2748">
            <v>41097</v>
          </cell>
          <cell r="C2748">
            <v>7</v>
          </cell>
        </row>
        <row r="2749">
          <cell r="B2749">
            <v>41098</v>
          </cell>
          <cell r="C2749">
            <v>7</v>
          </cell>
        </row>
        <row r="2750">
          <cell r="B2750">
            <v>41099</v>
          </cell>
          <cell r="C2750">
            <v>7</v>
          </cell>
        </row>
        <row r="2751">
          <cell r="B2751">
            <v>41100</v>
          </cell>
          <cell r="C2751">
            <v>7</v>
          </cell>
        </row>
        <row r="2752">
          <cell r="B2752">
            <v>41101</v>
          </cell>
          <cell r="C2752">
            <v>7</v>
          </cell>
        </row>
        <row r="2753">
          <cell r="B2753">
            <v>41102</v>
          </cell>
          <cell r="C2753">
            <v>7</v>
          </cell>
        </row>
        <row r="2754">
          <cell r="B2754">
            <v>41103</v>
          </cell>
          <cell r="C2754">
            <v>7</v>
          </cell>
        </row>
        <row r="2755">
          <cell r="B2755">
            <v>41104</v>
          </cell>
          <cell r="C2755">
            <v>7</v>
          </cell>
        </row>
        <row r="2756">
          <cell r="B2756">
            <v>41105</v>
          </cell>
          <cell r="C2756">
            <v>7</v>
          </cell>
        </row>
        <row r="2757">
          <cell r="B2757">
            <v>41106</v>
          </cell>
          <cell r="C2757">
            <v>7</v>
          </cell>
        </row>
        <row r="2758">
          <cell r="B2758">
            <v>41107</v>
          </cell>
          <cell r="C2758">
            <v>7</v>
          </cell>
        </row>
        <row r="2759">
          <cell r="B2759">
            <v>41108</v>
          </cell>
          <cell r="C2759">
            <v>7</v>
          </cell>
        </row>
        <row r="2760">
          <cell r="B2760">
            <v>41109</v>
          </cell>
          <cell r="C2760">
            <v>7</v>
          </cell>
        </row>
        <row r="2761">
          <cell r="B2761">
            <v>41110</v>
          </cell>
          <cell r="C2761">
            <v>7</v>
          </cell>
        </row>
        <row r="2762">
          <cell r="B2762">
            <v>41111</v>
          </cell>
          <cell r="C2762">
            <v>7</v>
          </cell>
        </row>
        <row r="2763">
          <cell r="B2763">
            <v>41112</v>
          </cell>
          <cell r="C2763">
            <v>7</v>
          </cell>
        </row>
        <row r="2764">
          <cell r="B2764">
            <v>41113</v>
          </cell>
          <cell r="C2764">
            <v>7</v>
          </cell>
        </row>
        <row r="2765">
          <cell r="B2765">
            <v>41114</v>
          </cell>
          <cell r="C2765">
            <v>7</v>
          </cell>
        </row>
        <row r="2766">
          <cell r="B2766">
            <v>41115</v>
          </cell>
          <cell r="C2766">
            <v>7</v>
          </cell>
        </row>
        <row r="2767">
          <cell r="B2767">
            <v>41116</v>
          </cell>
          <cell r="C2767">
            <v>7</v>
          </cell>
        </row>
        <row r="2768">
          <cell r="B2768">
            <v>41117</v>
          </cell>
          <cell r="C2768">
            <v>7</v>
          </cell>
        </row>
        <row r="2769">
          <cell r="B2769">
            <v>41118</v>
          </cell>
          <cell r="C2769">
            <v>7</v>
          </cell>
        </row>
        <row r="2770">
          <cell r="B2770">
            <v>41119</v>
          </cell>
          <cell r="C2770">
            <v>7</v>
          </cell>
        </row>
        <row r="2771">
          <cell r="B2771">
            <v>41120</v>
          </cell>
          <cell r="C2771">
            <v>7</v>
          </cell>
        </row>
        <row r="2772">
          <cell r="B2772">
            <v>41121</v>
          </cell>
          <cell r="C2772">
            <v>7</v>
          </cell>
        </row>
        <row r="2773">
          <cell r="B2773">
            <v>41122</v>
          </cell>
          <cell r="C2773">
            <v>8</v>
          </cell>
        </row>
        <row r="2774">
          <cell r="B2774">
            <v>41123</v>
          </cell>
          <cell r="C2774">
            <v>8</v>
          </cell>
        </row>
        <row r="2775">
          <cell r="B2775">
            <v>41124</v>
          </cell>
          <cell r="C2775">
            <v>8</v>
          </cell>
        </row>
        <row r="2776">
          <cell r="B2776">
            <v>41125</v>
          </cell>
          <cell r="C2776">
            <v>8</v>
          </cell>
        </row>
        <row r="2777">
          <cell r="B2777">
            <v>41126</v>
          </cell>
          <cell r="C2777">
            <v>8</v>
          </cell>
        </row>
        <row r="2778">
          <cell r="B2778">
            <v>41127</v>
          </cell>
          <cell r="C2778">
            <v>8</v>
          </cell>
        </row>
        <row r="2779">
          <cell r="B2779">
            <v>41128</v>
          </cell>
          <cell r="C2779">
            <v>8</v>
          </cell>
        </row>
        <row r="2780">
          <cell r="B2780">
            <v>41129</v>
          </cell>
          <cell r="C2780">
            <v>8</v>
          </cell>
        </row>
        <row r="2781">
          <cell r="B2781">
            <v>41130</v>
          </cell>
          <cell r="C2781">
            <v>8</v>
          </cell>
        </row>
        <row r="2782">
          <cell r="B2782">
            <v>41131</v>
          </cell>
          <cell r="C2782">
            <v>8</v>
          </cell>
        </row>
        <row r="2783">
          <cell r="B2783">
            <v>41132</v>
          </cell>
          <cell r="C2783">
            <v>8</v>
          </cell>
        </row>
        <row r="2784">
          <cell r="B2784">
            <v>41133</v>
          </cell>
          <cell r="C2784">
            <v>8</v>
          </cell>
        </row>
        <row r="2785">
          <cell r="B2785">
            <v>41134</v>
          </cell>
          <cell r="C2785">
            <v>8</v>
          </cell>
        </row>
        <row r="2786">
          <cell r="B2786">
            <v>41135</v>
          </cell>
          <cell r="C2786">
            <v>8</v>
          </cell>
        </row>
        <row r="2787">
          <cell r="B2787">
            <v>41136</v>
          </cell>
          <cell r="C2787">
            <v>8</v>
          </cell>
        </row>
        <row r="2788">
          <cell r="B2788">
            <v>41137</v>
          </cell>
          <cell r="C2788">
            <v>8</v>
          </cell>
        </row>
        <row r="2789">
          <cell r="B2789">
            <v>41138</v>
          </cell>
          <cell r="C2789">
            <v>8</v>
          </cell>
        </row>
        <row r="2790">
          <cell r="B2790">
            <v>41139</v>
          </cell>
          <cell r="C2790">
            <v>8</v>
          </cell>
        </row>
        <row r="2791">
          <cell r="B2791">
            <v>41140</v>
          </cell>
          <cell r="C2791">
            <v>8</v>
          </cell>
        </row>
        <row r="2792">
          <cell r="B2792">
            <v>41141</v>
          </cell>
          <cell r="C2792">
            <v>8</v>
          </cell>
        </row>
        <row r="2793">
          <cell r="B2793">
            <v>41142</v>
          </cell>
          <cell r="C2793">
            <v>8</v>
          </cell>
        </row>
        <row r="2794">
          <cell r="B2794">
            <v>41143</v>
          </cell>
          <cell r="C2794">
            <v>8</v>
          </cell>
        </row>
        <row r="2795">
          <cell r="B2795">
            <v>41144</v>
          </cell>
          <cell r="C2795">
            <v>8</v>
          </cell>
        </row>
        <row r="2796">
          <cell r="B2796">
            <v>41145</v>
          </cell>
          <cell r="C2796">
            <v>8</v>
          </cell>
        </row>
        <row r="2797">
          <cell r="B2797">
            <v>41146</v>
          </cell>
          <cell r="C2797">
            <v>8</v>
          </cell>
        </row>
        <row r="2798">
          <cell r="B2798">
            <v>41147</v>
          </cell>
          <cell r="C2798">
            <v>8</v>
          </cell>
        </row>
        <row r="2799">
          <cell r="B2799">
            <v>41148</v>
          </cell>
          <cell r="C2799">
            <v>8</v>
          </cell>
        </row>
        <row r="2800">
          <cell r="B2800">
            <v>41149</v>
          </cell>
          <cell r="C2800">
            <v>8</v>
          </cell>
        </row>
        <row r="2801">
          <cell r="B2801">
            <v>41150</v>
          </cell>
          <cell r="C2801">
            <v>8</v>
          </cell>
        </row>
        <row r="2802">
          <cell r="B2802">
            <v>41151</v>
          </cell>
          <cell r="C2802">
            <v>8</v>
          </cell>
        </row>
        <row r="2803">
          <cell r="B2803">
            <v>41152</v>
          </cell>
          <cell r="C2803">
            <v>8</v>
          </cell>
        </row>
        <row r="2804">
          <cell r="B2804">
            <v>41153</v>
          </cell>
          <cell r="C2804">
            <v>9</v>
          </cell>
        </row>
        <row r="2805">
          <cell r="B2805">
            <v>41154</v>
          </cell>
          <cell r="C2805">
            <v>9</v>
          </cell>
        </row>
        <row r="2806">
          <cell r="B2806">
            <v>41155</v>
          </cell>
          <cell r="C2806">
            <v>9</v>
          </cell>
        </row>
        <row r="2807">
          <cell r="B2807">
            <v>41156</v>
          </cell>
          <cell r="C2807">
            <v>9</v>
          </cell>
        </row>
        <row r="2808">
          <cell r="B2808">
            <v>41157</v>
          </cell>
          <cell r="C2808">
            <v>9</v>
          </cell>
        </row>
        <row r="2809">
          <cell r="B2809">
            <v>41158</v>
          </cell>
          <cell r="C2809">
            <v>9</v>
          </cell>
        </row>
        <row r="2810">
          <cell r="B2810">
            <v>41159</v>
          </cell>
          <cell r="C2810">
            <v>9</v>
          </cell>
        </row>
        <row r="2811">
          <cell r="B2811">
            <v>41160</v>
          </cell>
          <cell r="C2811">
            <v>9</v>
          </cell>
        </row>
        <row r="2812">
          <cell r="B2812">
            <v>41161</v>
          </cell>
          <cell r="C2812">
            <v>9</v>
          </cell>
        </row>
        <row r="2813">
          <cell r="B2813">
            <v>41162</v>
          </cell>
          <cell r="C2813">
            <v>9</v>
          </cell>
        </row>
        <row r="2814">
          <cell r="B2814">
            <v>41163</v>
          </cell>
          <cell r="C2814">
            <v>9</v>
          </cell>
        </row>
        <row r="2815">
          <cell r="B2815">
            <v>41164</v>
          </cell>
          <cell r="C2815">
            <v>9</v>
          </cell>
        </row>
        <row r="2816">
          <cell r="B2816">
            <v>41165</v>
          </cell>
          <cell r="C2816">
            <v>9</v>
          </cell>
        </row>
        <row r="2817">
          <cell r="B2817">
            <v>41166</v>
          </cell>
          <cell r="C2817">
            <v>9</v>
          </cell>
        </row>
        <row r="2818">
          <cell r="B2818">
            <v>41167</v>
          </cell>
          <cell r="C2818">
            <v>9</v>
          </cell>
        </row>
        <row r="2819">
          <cell r="B2819">
            <v>41168</v>
          </cell>
          <cell r="C2819">
            <v>9</v>
          </cell>
        </row>
        <row r="2820">
          <cell r="B2820">
            <v>41169</v>
          </cell>
          <cell r="C2820">
            <v>9</v>
          </cell>
        </row>
        <row r="2821">
          <cell r="B2821">
            <v>41170</v>
          </cell>
          <cell r="C2821">
            <v>9</v>
          </cell>
        </row>
        <row r="2822">
          <cell r="B2822">
            <v>41171</v>
          </cell>
          <cell r="C2822">
            <v>9</v>
          </cell>
        </row>
        <row r="2823">
          <cell r="B2823">
            <v>41172</v>
          </cell>
          <cell r="C2823">
            <v>9</v>
          </cell>
        </row>
        <row r="2824">
          <cell r="B2824">
            <v>41173</v>
          </cell>
          <cell r="C2824">
            <v>9</v>
          </cell>
        </row>
        <row r="2825">
          <cell r="B2825">
            <v>41174</v>
          </cell>
          <cell r="C2825">
            <v>9</v>
          </cell>
        </row>
        <row r="2826">
          <cell r="B2826">
            <v>41175</v>
          </cell>
          <cell r="C2826">
            <v>9</v>
          </cell>
        </row>
        <row r="2827">
          <cell r="B2827">
            <v>41176</v>
          </cell>
          <cell r="C2827">
            <v>9</v>
          </cell>
        </row>
        <row r="2828">
          <cell r="B2828">
            <v>41177</v>
          </cell>
          <cell r="C2828">
            <v>9</v>
          </cell>
        </row>
        <row r="2829">
          <cell r="B2829">
            <v>41178</v>
          </cell>
          <cell r="C2829">
            <v>9</v>
          </cell>
        </row>
        <row r="2830">
          <cell r="B2830">
            <v>41179</v>
          </cell>
          <cell r="C2830">
            <v>9</v>
          </cell>
        </row>
        <row r="2831">
          <cell r="B2831">
            <v>41180</v>
          </cell>
          <cell r="C2831">
            <v>9</v>
          </cell>
        </row>
        <row r="2832">
          <cell r="B2832">
            <v>41181</v>
          </cell>
          <cell r="C2832">
            <v>9</v>
          </cell>
        </row>
        <row r="2833">
          <cell r="B2833">
            <v>41182</v>
          </cell>
          <cell r="C2833">
            <v>9</v>
          </cell>
        </row>
        <row r="2834">
          <cell r="B2834">
            <v>41183</v>
          </cell>
          <cell r="C2834">
            <v>10</v>
          </cell>
        </row>
        <row r="2835">
          <cell r="B2835">
            <v>41184</v>
          </cell>
          <cell r="C2835">
            <v>10</v>
          </cell>
        </row>
        <row r="2836">
          <cell r="B2836">
            <v>41185</v>
          </cell>
          <cell r="C2836">
            <v>10</v>
          </cell>
        </row>
        <row r="2837">
          <cell r="B2837">
            <v>41186</v>
          </cell>
          <cell r="C2837">
            <v>10</v>
          </cell>
        </row>
        <row r="2838">
          <cell r="B2838">
            <v>41187</v>
          </cell>
          <cell r="C2838">
            <v>10</v>
          </cell>
        </row>
        <row r="2839">
          <cell r="B2839">
            <v>41188</v>
          </cell>
          <cell r="C2839">
            <v>10</v>
          </cell>
        </row>
        <row r="2840">
          <cell r="B2840">
            <v>41189</v>
          </cell>
          <cell r="C2840">
            <v>10</v>
          </cell>
        </row>
        <row r="2841">
          <cell r="B2841">
            <v>41190</v>
          </cell>
          <cell r="C2841">
            <v>10</v>
          </cell>
        </row>
        <row r="2842">
          <cell r="B2842">
            <v>41191</v>
          </cell>
          <cell r="C2842">
            <v>10</v>
          </cell>
        </row>
        <row r="2843">
          <cell r="B2843">
            <v>41192</v>
          </cell>
          <cell r="C2843">
            <v>10</v>
          </cell>
        </row>
        <row r="2844">
          <cell r="B2844">
            <v>41193</v>
          </cell>
          <cell r="C2844">
            <v>10</v>
          </cell>
        </row>
        <row r="2845">
          <cell r="B2845">
            <v>41194</v>
          </cell>
          <cell r="C2845">
            <v>10</v>
          </cell>
        </row>
        <row r="2846">
          <cell r="B2846">
            <v>41195</v>
          </cell>
          <cell r="C2846">
            <v>10</v>
          </cell>
        </row>
        <row r="2847">
          <cell r="B2847">
            <v>41196</v>
          </cell>
          <cell r="C2847">
            <v>10</v>
          </cell>
        </row>
        <row r="2848">
          <cell r="B2848">
            <v>41197</v>
          </cell>
          <cell r="C2848">
            <v>10</v>
          </cell>
        </row>
        <row r="2849">
          <cell r="B2849">
            <v>41198</v>
          </cell>
          <cell r="C2849">
            <v>10</v>
          </cell>
        </row>
        <row r="2850">
          <cell r="B2850">
            <v>41199</v>
          </cell>
          <cell r="C2850">
            <v>10</v>
          </cell>
        </row>
        <row r="2851">
          <cell r="B2851">
            <v>41200</v>
          </cell>
          <cell r="C2851">
            <v>10</v>
          </cell>
        </row>
        <row r="2852">
          <cell r="B2852">
            <v>41201</v>
          </cell>
          <cell r="C2852">
            <v>10</v>
          </cell>
        </row>
        <row r="2853">
          <cell r="B2853">
            <v>41202</v>
          </cell>
          <cell r="C2853">
            <v>10</v>
          </cell>
        </row>
        <row r="2854">
          <cell r="B2854">
            <v>41203</v>
          </cell>
          <cell r="C2854">
            <v>10</v>
          </cell>
        </row>
        <row r="2855">
          <cell r="B2855">
            <v>41204</v>
          </cell>
          <cell r="C2855">
            <v>10</v>
          </cell>
        </row>
        <row r="2856">
          <cell r="B2856">
            <v>41205</v>
          </cell>
          <cell r="C2856">
            <v>10</v>
          </cell>
        </row>
        <row r="2857">
          <cell r="B2857">
            <v>41206</v>
          </cell>
          <cell r="C2857">
            <v>10</v>
          </cell>
        </row>
        <row r="2858">
          <cell r="B2858">
            <v>41207</v>
          </cell>
          <cell r="C2858">
            <v>10</v>
          </cell>
        </row>
        <row r="2859">
          <cell r="B2859">
            <v>41208</v>
          </cell>
          <cell r="C2859">
            <v>10</v>
          </cell>
        </row>
        <row r="2860">
          <cell r="B2860">
            <v>41209</v>
          </cell>
          <cell r="C2860">
            <v>10</v>
          </cell>
        </row>
        <row r="2861">
          <cell r="B2861">
            <v>41210</v>
          </cell>
          <cell r="C2861">
            <v>10</v>
          </cell>
        </row>
        <row r="2862">
          <cell r="B2862">
            <v>41211</v>
          </cell>
          <cell r="C2862">
            <v>10</v>
          </cell>
        </row>
        <row r="2863">
          <cell r="B2863">
            <v>41212</v>
          </cell>
          <cell r="C2863">
            <v>10</v>
          </cell>
        </row>
        <row r="2864">
          <cell r="B2864">
            <v>41213</v>
          </cell>
          <cell r="C2864">
            <v>10</v>
          </cell>
        </row>
        <row r="2865">
          <cell r="B2865">
            <v>41214</v>
          </cell>
          <cell r="C2865">
            <v>11</v>
          </cell>
        </row>
        <row r="2866">
          <cell r="B2866">
            <v>41215</v>
          </cell>
          <cell r="C2866">
            <v>11</v>
          </cell>
        </row>
        <row r="2867">
          <cell r="B2867">
            <v>41216</v>
          </cell>
          <cell r="C2867">
            <v>11</v>
          </cell>
        </row>
        <row r="2868">
          <cell r="B2868">
            <v>41217</v>
          </cell>
          <cell r="C2868">
            <v>11</v>
          </cell>
        </row>
        <row r="2869">
          <cell r="B2869">
            <v>41218</v>
          </cell>
          <cell r="C2869">
            <v>11</v>
          </cell>
        </row>
        <row r="2870">
          <cell r="B2870">
            <v>41219</v>
          </cell>
          <cell r="C2870">
            <v>11</v>
          </cell>
        </row>
        <row r="2871">
          <cell r="B2871">
            <v>41220</v>
          </cell>
          <cell r="C2871">
            <v>11</v>
          </cell>
        </row>
        <row r="2872">
          <cell r="B2872">
            <v>41221</v>
          </cell>
          <cell r="C2872">
            <v>11</v>
          </cell>
        </row>
        <row r="2873">
          <cell r="B2873">
            <v>41222</v>
          </cell>
          <cell r="C2873">
            <v>11</v>
          </cell>
        </row>
        <row r="2874">
          <cell r="B2874">
            <v>41223</v>
          </cell>
          <cell r="C2874">
            <v>11</v>
          </cell>
        </row>
        <row r="2875">
          <cell r="B2875">
            <v>41224</v>
          </cell>
          <cell r="C2875">
            <v>11</v>
          </cell>
        </row>
        <row r="2876">
          <cell r="B2876">
            <v>41225</v>
          </cell>
          <cell r="C2876">
            <v>11</v>
          </cell>
        </row>
        <row r="2877">
          <cell r="B2877">
            <v>41226</v>
          </cell>
          <cell r="C2877">
            <v>11</v>
          </cell>
        </row>
        <row r="2878">
          <cell r="B2878">
            <v>41227</v>
          </cell>
          <cell r="C2878">
            <v>11</v>
          </cell>
        </row>
        <row r="2879">
          <cell r="B2879">
            <v>41228</v>
          </cell>
          <cell r="C2879">
            <v>11</v>
          </cell>
        </row>
        <row r="2880">
          <cell r="B2880">
            <v>41229</v>
          </cell>
          <cell r="C2880">
            <v>11</v>
          </cell>
        </row>
        <row r="2881">
          <cell r="B2881">
            <v>41230</v>
          </cell>
          <cell r="C2881">
            <v>11</v>
          </cell>
        </row>
        <row r="2882">
          <cell r="B2882">
            <v>41231</v>
          </cell>
          <cell r="C2882">
            <v>11</v>
          </cell>
        </row>
        <row r="2883">
          <cell r="B2883">
            <v>41232</v>
          </cell>
          <cell r="C2883">
            <v>11</v>
          </cell>
        </row>
        <row r="2884">
          <cell r="B2884">
            <v>41233</v>
          </cell>
          <cell r="C2884">
            <v>11</v>
          </cell>
        </row>
        <row r="2885">
          <cell r="B2885">
            <v>41234</v>
          </cell>
          <cell r="C2885">
            <v>11</v>
          </cell>
        </row>
        <row r="2886">
          <cell r="B2886">
            <v>41235</v>
          </cell>
          <cell r="C2886">
            <v>11</v>
          </cell>
        </row>
        <row r="2887">
          <cell r="B2887">
            <v>41236</v>
          </cell>
          <cell r="C2887">
            <v>11</v>
          </cell>
        </row>
        <row r="2888">
          <cell r="B2888">
            <v>41237</v>
          </cell>
          <cell r="C2888">
            <v>11</v>
          </cell>
        </row>
        <row r="2889">
          <cell r="B2889">
            <v>41238</v>
          </cell>
          <cell r="C2889">
            <v>11</v>
          </cell>
        </row>
        <row r="2890">
          <cell r="B2890">
            <v>41239</v>
          </cell>
          <cell r="C2890">
            <v>11</v>
          </cell>
        </row>
        <row r="2891">
          <cell r="B2891">
            <v>41240</v>
          </cell>
          <cell r="C2891">
            <v>11</v>
          </cell>
        </row>
        <row r="2892">
          <cell r="B2892">
            <v>41241</v>
          </cell>
          <cell r="C2892">
            <v>11</v>
          </cell>
        </row>
        <row r="2893">
          <cell r="B2893">
            <v>41242</v>
          </cell>
          <cell r="C2893">
            <v>11</v>
          </cell>
        </row>
        <row r="2894">
          <cell r="B2894">
            <v>41243</v>
          </cell>
          <cell r="C2894">
            <v>11</v>
          </cell>
        </row>
        <row r="2895">
          <cell r="B2895">
            <v>41244</v>
          </cell>
          <cell r="C2895">
            <v>12</v>
          </cell>
        </row>
        <row r="2896">
          <cell r="B2896">
            <v>41245</v>
          </cell>
          <cell r="C2896">
            <v>12</v>
          </cell>
        </row>
        <row r="2897">
          <cell r="B2897">
            <v>41246</v>
          </cell>
          <cell r="C2897">
            <v>12</v>
          </cell>
        </row>
        <row r="2898">
          <cell r="B2898">
            <v>41247</v>
          </cell>
          <cell r="C2898">
            <v>12</v>
          </cell>
        </row>
        <row r="2899">
          <cell r="B2899">
            <v>41248</v>
          </cell>
          <cell r="C2899">
            <v>12</v>
          </cell>
        </row>
        <row r="2900">
          <cell r="B2900">
            <v>41249</v>
          </cell>
          <cell r="C2900">
            <v>12</v>
          </cell>
        </row>
        <row r="2901">
          <cell r="B2901">
            <v>41250</v>
          </cell>
          <cell r="C2901">
            <v>12</v>
          </cell>
        </row>
        <row r="2902">
          <cell r="B2902">
            <v>41251</v>
          </cell>
          <cell r="C2902">
            <v>12</v>
          </cell>
        </row>
        <row r="2903">
          <cell r="B2903">
            <v>41252</v>
          </cell>
          <cell r="C2903">
            <v>12</v>
          </cell>
        </row>
        <row r="2904">
          <cell r="B2904">
            <v>41253</v>
          </cell>
          <cell r="C2904">
            <v>12</v>
          </cell>
        </row>
        <row r="2905">
          <cell r="B2905">
            <v>41254</v>
          </cell>
          <cell r="C2905">
            <v>12</v>
          </cell>
        </row>
        <row r="2906">
          <cell r="B2906">
            <v>41255</v>
          </cell>
          <cell r="C2906">
            <v>12</v>
          </cell>
        </row>
        <row r="2907">
          <cell r="B2907">
            <v>41256</v>
          </cell>
          <cell r="C2907">
            <v>12</v>
          </cell>
        </row>
        <row r="2908">
          <cell r="B2908">
            <v>41257</v>
          </cell>
          <cell r="C2908">
            <v>12</v>
          </cell>
        </row>
        <row r="2909">
          <cell r="B2909">
            <v>41258</v>
          </cell>
          <cell r="C2909">
            <v>12</v>
          </cell>
        </row>
        <row r="2910">
          <cell r="B2910">
            <v>41259</v>
          </cell>
          <cell r="C2910">
            <v>12</v>
          </cell>
        </row>
        <row r="2911">
          <cell r="B2911">
            <v>41260</v>
          </cell>
          <cell r="C2911">
            <v>12</v>
          </cell>
        </row>
        <row r="2912">
          <cell r="B2912">
            <v>41261</v>
          </cell>
          <cell r="C2912">
            <v>12</v>
          </cell>
        </row>
        <row r="2913">
          <cell r="B2913">
            <v>41262</v>
          </cell>
          <cell r="C2913">
            <v>12</v>
          </cell>
        </row>
        <row r="2914">
          <cell r="B2914">
            <v>41263</v>
          </cell>
          <cell r="C2914">
            <v>12</v>
          </cell>
        </row>
        <row r="2915">
          <cell r="B2915">
            <v>41264</v>
          </cell>
          <cell r="C2915">
            <v>12</v>
          </cell>
        </row>
        <row r="2916">
          <cell r="B2916">
            <v>41265</v>
          </cell>
          <cell r="C2916">
            <v>12</v>
          </cell>
        </row>
        <row r="2917">
          <cell r="B2917">
            <v>41266</v>
          </cell>
          <cell r="C2917">
            <v>12</v>
          </cell>
        </row>
        <row r="2918">
          <cell r="B2918">
            <v>41267</v>
          </cell>
          <cell r="C2918">
            <v>12</v>
          </cell>
        </row>
        <row r="2919">
          <cell r="B2919">
            <v>41268</v>
          </cell>
          <cell r="C2919">
            <v>12</v>
          </cell>
        </row>
        <row r="2920">
          <cell r="B2920">
            <v>41269</v>
          </cell>
          <cell r="C2920">
            <v>12</v>
          </cell>
        </row>
        <row r="2921">
          <cell r="B2921">
            <v>41270</v>
          </cell>
          <cell r="C2921">
            <v>12</v>
          </cell>
        </row>
        <row r="2922">
          <cell r="B2922">
            <v>41271</v>
          </cell>
          <cell r="C2922">
            <v>12</v>
          </cell>
        </row>
        <row r="2923">
          <cell r="B2923">
            <v>41272</v>
          </cell>
          <cell r="C2923">
            <v>12</v>
          </cell>
        </row>
        <row r="2924">
          <cell r="B2924">
            <v>41273</v>
          </cell>
          <cell r="C2924">
            <v>12</v>
          </cell>
        </row>
        <row r="2925">
          <cell r="B2925">
            <v>41274</v>
          </cell>
          <cell r="C2925">
            <v>12</v>
          </cell>
        </row>
        <row r="2926">
          <cell r="B2926">
            <v>41275</v>
          </cell>
          <cell r="C2926">
            <v>1</v>
          </cell>
        </row>
        <row r="2927">
          <cell r="B2927">
            <v>41276</v>
          </cell>
          <cell r="C2927">
            <v>1</v>
          </cell>
        </row>
        <row r="2928">
          <cell r="B2928">
            <v>41277</v>
          </cell>
          <cell r="C2928">
            <v>1</v>
          </cell>
        </row>
        <row r="2929">
          <cell r="B2929">
            <v>41278</v>
          </cell>
          <cell r="C2929">
            <v>1</v>
          </cell>
        </row>
        <row r="2930">
          <cell r="B2930">
            <v>41279</v>
          </cell>
          <cell r="C2930">
            <v>1</v>
          </cell>
        </row>
        <row r="2931">
          <cell r="B2931">
            <v>41280</v>
          </cell>
          <cell r="C2931">
            <v>1</v>
          </cell>
        </row>
        <row r="2932">
          <cell r="B2932">
            <v>41281</v>
          </cell>
          <cell r="C2932">
            <v>1</v>
          </cell>
        </row>
        <row r="2933">
          <cell r="B2933">
            <v>41282</v>
          </cell>
          <cell r="C2933">
            <v>1</v>
          </cell>
        </row>
        <row r="2934">
          <cell r="B2934">
            <v>41283</v>
          </cell>
          <cell r="C2934">
            <v>1</v>
          </cell>
        </row>
        <row r="2935">
          <cell r="B2935">
            <v>41284</v>
          </cell>
          <cell r="C2935">
            <v>1</v>
          </cell>
        </row>
        <row r="2936">
          <cell r="B2936">
            <v>41285</v>
          </cell>
          <cell r="C2936">
            <v>1</v>
          </cell>
        </row>
        <row r="2937">
          <cell r="B2937">
            <v>41286</v>
          </cell>
          <cell r="C2937">
            <v>1</v>
          </cell>
        </row>
        <row r="2938">
          <cell r="B2938">
            <v>41287</v>
          </cell>
          <cell r="C2938">
            <v>1</v>
          </cell>
        </row>
        <row r="2939">
          <cell r="B2939">
            <v>41288</v>
          </cell>
          <cell r="C2939">
            <v>1</v>
          </cell>
        </row>
        <row r="2940">
          <cell r="B2940">
            <v>41289</v>
          </cell>
          <cell r="C2940">
            <v>1</v>
          </cell>
        </row>
        <row r="2941">
          <cell r="B2941">
            <v>41290</v>
          </cell>
          <cell r="C2941">
            <v>1</v>
          </cell>
        </row>
        <row r="2942">
          <cell r="B2942">
            <v>41291</v>
          </cell>
          <cell r="C2942">
            <v>1</v>
          </cell>
        </row>
        <row r="2943">
          <cell r="B2943">
            <v>41292</v>
          </cell>
          <cell r="C2943">
            <v>1</v>
          </cell>
        </row>
        <row r="2944">
          <cell r="B2944">
            <v>41293</v>
          </cell>
          <cell r="C2944">
            <v>1</v>
          </cell>
        </row>
        <row r="2945">
          <cell r="B2945">
            <v>41294</v>
          </cell>
          <cell r="C2945">
            <v>1</v>
          </cell>
        </row>
        <row r="2946">
          <cell r="B2946">
            <v>41295</v>
          </cell>
          <cell r="C2946">
            <v>1</v>
          </cell>
        </row>
        <row r="2947">
          <cell r="B2947">
            <v>41296</v>
          </cell>
          <cell r="C2947">
            <v>1</v>
          </cell>
        </row>
        <row r="2948">
          <cell r="B2948">
            <v>41297</v>
          </cell>
          <cell r="C2948">
            <v>1</v>
          </cell>
        </row>
        <row r="2949">
          <cell r="B2949">
            <v>41298</v>
          </cell>
          <cell r="C2949">
            <v>1</v>
          </cell>
        </row>
        <row r="2950">
          <cell r="B2950">
            <v>41299</v>
          </cell>
          <cell r="C2950">
            <v>1</v>
          </cell>
        </row>
        <row r="2951">
          <cell r="B2951">
            <v>41300</v>
          </cell>
          <cell r="C2951">
            <v>1</v>
          </cell>
        </row>
        <row r="2952">
          <cell r="B2952">
            <v>41301</v>
          </cell>
          <cell r="C2952">
            <v>1</v>
          </cell>
        </row>
        <row r="2953">
          <cell r="B2953">
            <v>41302</v>
          </cell>
          <cell r="C2953">
            <v>1</v>
          </cell>
        </row>
        <row r="2954">
          <cell r="B2954">
            <v>41303</v>
          </cell>
          <cell r="C2954">
            <v>1</v>
          </cell>
        </row>
        <row r="2955">
          <cell r="B2955">
            <v>41304</v>
          </cell>
          <cell r="C2955">
            <v>1</v>
          </cell>
        </row>
        <row r="2956">
          <cell r="B2956">
            <v>41305</v>
          </cell>
          <cell r="C2956">
            <v>1</v>
          </cell>
        </row>
        <row r="2957">
          <cell r="B2957">
            <v>41306</v>
          </cell>
          <cell r="C2957">
            <v>2</v>
          </cell>
        </row>
        <row r="2958">
          <cell r="B2958">
            <v>41307</v>
          </cell>
          <cell r="C2958">
            <v>2</v>
          </cell>
        </row>
        <row r="2959">
          <cell r="B2959">
            <v>41308</v>
          </cell>
          <cell r="C2959">
            <v>2</v>
          </cell>
        </row>
        <row r="2960">
          <cell r="B2960">
            <v>41309</v>
          </cell>
          <cell r="C2960">
            <v>2</v>
          </cell>
        </row>
        <row r="2961">
          <cell r="B2961">
            <v>41310</v>
          </cell>
          <cell r="C2961">
            <v>2</v>
          </cell>
        </row>
        <row r="2962">
          <cell r="B2962">
            <v>41311</v>
          </cell>
          <cell r="C2962">
            <v>2</v>
          </cell>
        </row>
        <row r="2963">
          <cell r="B2963">
            <v>41312</v>
          </cell>
          <cell r="C2963">
            <v>2</v>
          </cell>
        </row>
        <row r="2964">
          <cell r="B2964">
            <v>41313</v>
          </cell>
          <cell r="C2964">
            <v>2</v>
          </cell>
        </row>
        <row r="2965">
          <cell r="B2965">
            <v>41314</v>
          </cell>
          <cell r="C2965">
            <v>2</v>
          </cell>
        </row>
        <row r="2966">
          <cell r="B2966">
            <v>41315</v>
          </cell>
          <cell r="C2966">
            <v>2</v>
          </cell>
        </row>
        <row r="2967">
          <cell r="B2967">
            <v>41316</v>
          </cell>
          <cell r="C2967">
            <v>2</v>
          </cell>
        </row>
        <row r="2968">
          <cell r="B2968">
            <v>41317</v>
          </cell>
          <cell r="C2968">
            <v>2</v>
          </cell>
        </row>
        <row r="2969">
          <cell r="B2969">
            <v>41318</v>
          </cell>
          <cell r="C2969">
            <v>2</v>
          </cell>
        </row>
        <row r="2970">
          <cell r="B2970">
            <v>41319</v>
          </cell>
          <cell r="C2970">
            <v>2</v>
          </cell>
        </row>
        <row r="2971">
          <cell r="B2971">
            <v>41320</v>
          </cell>
          <cell r="C2971">
            <v>2</v>
          </cell>
        </row>
        <row r="2972">
          <cell r="B2972">
            <v>41321</v>
          </cell>
          <cell r="C2972">
            <v>2</v>
          </cell>
        </row>
        <row r="2973">
          <cell r="B2973">
            <v>41322</v>
          </cell>
          <cell r="C2973">
            <v>2</v>
          </cell>
        </row>
        <row r="2974">
          <cell r="B2974">
            <v>41323</v>
          </cell>
          <cell r="C2974">
            <v>2</v>
          </cell>
        </row>
        <row r="2975">
          <cell r="B2975">
            <v>41324</v>
          </cell>
          <cell r="C2975">
            <v>2</v>
          </cell>
        </row>
        <row r="2976">
          <cell r="B2976">
            <v>41325</v>
          </cell>
          <cell r="C2976">
            <v>2</v>
          </cell>
        </row>
        <row r="2977">
          <cell r="B2977">
            <v>41326</v>
          </cell>
          <cell r="C2977">
            <v>2</v>
          </cell>
        </row>
        <row r="2978">
          <cell r="B2978">
            <v>41327</v>
          </cell>
          <cell r="C2978">
            <v>2</v>
          </cell>
        </row>
        <row r="2979">
          <cell r="B2979">
            <v>41328</v>
          </cell>
          <cell r="C2979">
            <v>2</v>
          </cell>
        </row>
        <row r="2980">
          <cell r="B2980">
            <v>41329</v>
          </cell>
          <cell r="C2980">
            <v>2</v>
          </cell>
        </row>
        <row r="2981">
          <cell r="B2981">
            <v>41330</v>
          </cell>
          <cell r="C2981">
            <v>2</v>
          </cell>
        </row>
        <row r="2982">
          <cell r="B2982">
            <v>41331</v>
          </cell>
          <cell r="C2982">
            <v>2</v>
          </cell>
        </row>
        <row r="2983">
          <cell r="B2983">
            <v>41332</v>
          </cell>
          <cell r="C2983">
            <v>2</v>
          </cell>
        </row>
        <row r="2984">
          <cell r="B2984">
            <v>41333</v>
          </cell>
          <cell r="C2984">
            <v>2</v>
          </cell>
        </row>
        <row r="2985">
          <cell r="B2985">
            <v>41334</v>
          </cell>
          <cell r="C2985">
            <v>3</v>
          </cell>
        </row>
        <row r="2986">
          <cell r="B2986">
            <v>41335</v>
          </cell>
          <cell r="C2986">
            <v>3</v>
          </cell>
        </row>
        <row r="2987">
          <cell r="B2987">
            <v>41336</v>
          </cell>
          <cell r="C2987">
            <v>3</v>
          </cell>
        </row>
        <row r="2988">
          <cell r="B2988">
            <v>41337</v>
          </cell>
          <cell r="C2988">
            <v>3</v>
          </cell>
        </row>
        <row r="2989">
          <cell r="B2989">
            <v>41338</v>
          </cell>
          <cell r="C2989">
            <v>3</v>
          </cell>
        </row>
        <row r="2990">
          <cell r="B2990">
            <v>41339</v>
          </cell>
          <cell r="C2990">
            <v>3</v>
          </cell>
        </row>
        <row r="2991">
          <cell r="B2991">
            <v>41340</v>
          </cell>
          <cell r="C2991">
            <v>3</v>
          </cell>
        </row>
        <row r="2992">
          <cell r="B2992">
            <v>41341</v>
          </cell>
          <cell r="C2992">
            <v>3</v>
          </cell>
        </row>
        <row r="2993">
          <cell r="B2993">
            <v>41342</v>
          </cell>
          <cell r="C2993">
            <v>3</v>
          </cell>
        </row>
        <row r="2994">
          <cell r="B2994">
            <v>41343</v>
          </cell>
          <cell r="C2994">
            <v>3</v>
          </cell>
        </row>
        <row r="2995">
          <cell r="B2995">
            <v>41344</v>
          </cell>
          <cell r="C2995">
            <v>3</v>
          </cell>
        </row>
        <row r="2996">
          <cell r="B2996">
            <v>41345</v>
          </cell>
          <cell r="C2996">
            <v>3</v>
          </cell>
        </row>
        <row r="2997">
          <cell r="B2997">
            <v>41346</v>
          </cell>
          <cell r="C2997">
            <v>3</v>
          </cell>
        </row>
        <row r="2998">
          <cell r="B2998">
            <v>41347</v>
          </cell>
          <cell r="C2998">
            <v>3</v>
          </cell>
        </row>
        <row r="2999">
          <cell r="B2999">
            <v>41348</v>
          </cell>
          <cell r="C2999">
            <v>3</v>
          </cell>
        </row>
        <row r="3000">
          <cell r="B3000">
            <v>41349</v>
          </cell>
          <cell r="C3000">
            <v>3</v>
          </cell>
        </row>
        <row r="3001">
          <cell r="B3001">
            <v>41350</v>
          </cell>
          <cell r="C3001">
            <v>3</v>
          </cell>
        </row>
        <row r="3002">
          <cell r="B3002">
            <v>41351</v>
          </cell>
          <cell r="C3002">
            <v>3</v>
          </cell>
        </row>
        <row r="3003">
          <cell r="B3003">
            <v>41352</v>
          </cell>
          <cell r="C3003">
            <v>3</v>
          </cell>
        </row>
        <row r="3004">
          <cell r="B3004">
            <v>41353</v>
          </cell>
          <cell r="C3004">
            <v>3</v>
          </cell>
        </row>
        <row r="3005">
          <cell r="B3005">
            <v>41354</v>
          </cell>
          <cell r="C3005">
            <v>3</v>
          </cell>
        </row>
        <row r="3006">
          <cell r="B3006">
            <v>41355</v>
          </cell>
          <cell r="C3006">
            <v>3</v>
          </cell>
        </row>
        <row r="3007">
          <cell r="B3007">
            <v>41356</v>
          </cell>
          <cell r="C3007">
            <v>3</v>
          </cell>
        </row>
        <row r="3008">
          <cell r="B3008">
            <v>41357</v>
          </cell>
          <cell r="C3008">
            <v>3</v>
          </cell>
        </row>
        <row r="3009">
          <cell r="B3009">
            <v>41358</v>
          </cell>
          <cell r="C3009">
            <v>3</v>
          </cell>
        </row>
        <row r="3010">
          <cell r="B3010">
            <v>41359</v>
          </cell>
          <cell r="C3010">
            <v>3</v>
          </cell>
        </row>
        <row r="3011">
          <cell r="B3011">
            <v>41360</v>
          </cell>
          <cell r="C3011">
            <v>3</v>
          </cell>
        </row>
        <row r="3012">
          <cell r="B3012">
            <v>41361</v>
          </cell>
          <cell r="C3012">
            <v>3</v>
          </cell>
        </row>
        <row r="3013">
          <cell r="B3013">
            <v>41362</v>
          </cell>
          <cell r="C3013">
            <v>3</v>
          </cell>
        </row>
        <row r="3014">
          <cell r="B3014">
            <v>41363</v>
          </cell>
          <cell r="C3014">
            <v>3</v>
          </cell>
        </row>
        <row r="3015">
          <cell r="B3015">
            <v>41364</v>
          </cell>
          <cell r="C3015">
            <v>3</v>
          </cell>
        </row>
        <row r="3016">
          <cell r="B3016">
            <v>41365</v>
          </cell>
          <cell r="C3016">
            <v>4</v>
          </cell>
        </row>
        <row r="3017">
          <cell r="B3017">
            <v>41366</v>
          </cell>
          <cell r="C3017">
            <v>4</v>
          </cell>
        </row>
        <row r="3018">
          <cell r="B3018">
            <v>41367</v>
          </cell>
          <cell r="C3018">
            <v>4</v>
          </cell>
        </row>
        <row r="3019">
          <cell r="B3019">
            <v>41368</v>
          </cell>
          <cell r="C3019">
            <v>4</v>
          </cell>
        </row>
        <row r="3020">
          <cell r="B3020">
            <v>41369</v>
          </cell>
          <cell r="C3020">
            <v>4</v>
          </cell>
        </row>
        <row r="3021">
          <cell r="B3021">
            <v>41370</v>
          </cell>
          <cell r="C3021">
            <v>4</v>
          </cell>
        </row>
        <row r="3022">
          <cell r="B3022">
            <v>41371</v>
          </cell>
          <cell r="C3022">
            <v>4</v>
          </cell>
        </row>
        <row r="3023">
          <cell r="B3023">
            <v>41372</v>
          </cell>
          <cell r="C3023">
            <v>4</v>
          </cell>
        </row>
        <row r="3024">
          <cell r="B3024">
            <v>41373</v>
          </cell>
          <cell r="C3024">
            <v>4</v>
          </cell>
        </row>
        <row r="3025">
          <cell r="B3025">
            <v>41374</v>
          </cell>
          <cell r="C3025">
            <v>4</v>
          </cell>
        </row>
        <row r="3026">
          <cell r="B3026">
            <v>41375</v>
          </cell>
          <cell r="C3026">
            <v>4</v>
          </cell>
        </row>
        <row r="3027">
          <cell r="B3027">
            <v>41376</v>
          </cell>
          <cell r="C3027">
            <v>4</v>
          </cell>
        </row>
        <row r="3028">
          <cell r="B3028">
            <v>41377</v>
          </cell>
          <cell r="C3028">
            <v>4</v>
          </cell>
        </row>
        <row r="3029">
          <cell r="B3029">
            <v>41378</v>
          </cell>
          <cell r="C3029">
            <v>4</v>
          </cell>
        </row>
        <row r="3030">
          <cell r="B3030">
            <v>41379</v>
          </cell>
          <cell r="C3030">
            <v>4</v>
          </cell>
        </row>
        <row r="3031">
          <cell r="B3031">
            <v>41380</v>
          </cell>
          <cell r="C3031">
            <v>4</v>
          </cell>
        </row>
        <row r="3032">
          <cell r="B3032">
            <v>41381</v>
          </cell>
          <cell r="C3032">
            <v>4</v>
          </cell>
        </row>
        <row r="3033">
          <cell r="B3033">
            <v>41382</v>
          </cell>
          <cell r="C3033">
            <v>4</v>
          </cell>
        </row>
        <row r="3034">
          <cell r="B3034">
            <v>41383</v>
          </cell>
          <cell r="C3034">
            <v>4</v>
          </cell>
        </row>
        <row r="3035">
          <cell r="B3035">
            <v>41384</v>
          </cell>
          <cell r="C3035">
            <v>4</v>
          </cell>
        </row>
        <row r="3036">
          <cell r="B3036">
            <v>41385</v>
          </cell>
          <cell r="C3036">
            <v>4</v>
          </cell>
        </row>
        <row r="3037">
          <cell r="B3037">
            <v>41386</v>
          </cell>
          <cell r="C3037">
            <v>4</v>
          </cell>
        </row>
        <row r="3038">
          <cell r="B3038">
            <v>41387</v>
          </cell>
          <cell r="C3038">
            <v>4</v>
          </cell>
        </row>
        <row r="3039">
          <cell r="B3039">
            <v>41388</v>
          </cell>
          <cell r="C3039">
            <v>4</v>
          </cell>
        </row>
        <row r="3040">
          <cell r="B3040">
            <v>41389</v>
          </cell>
          <cell r="C3040">
            <v>4</v>
          </cell>
        </row>
        <row r="3041">
          <cell r="B3041">
            <v>41390</v>
          </cell>
          <cell r="C3041">
            <v>4</v>
          </cell>
        </row>
        <row r="3042">
          <cell r="B3042">
            <v>41391</v>
          </cell>
          <cell r="C3042">
            <v>4</v>
          </cell>
        </row>
        <row r="3043">
          <cell r="B3043">
            <v>41392</v>
          </cell>
          <cell r="C3043">
            <v>4</v>
          </cell>
        </row>
        <row r="3044">
          <cell r="B3044">
            <v>41393</v>
          </cell>
          <cell r="C3044">
            <v>4</v>
          </cell>
        </row>
        <row r="3045">
          <cell r="B3045">
            <v>41394</v>
          </cell>
          <cell r="C3045">
            <v>4</v>
          </cell>
        </row>
        <row r="3046">
          <cell r="B3046">
            <v>41395</v>
          </cell>
          <cell r="C3046">
            <v>5</v>
          </cell>
        </row>
        <row r="3047">
          <cell r="B3047">
            <v>41396</v>
          </cell>
          <cell r="C3047">
            <v>5</v>
          </cell>
        </row>
        <row r="3048">
          <cell r="B3048">
            <v>41397</v>
          </cell>
          <cell r="C3048">
            <v>5</v>
          </cell>
        </row>
        <row r="3049">
          <cell r="B3049">
            <v>41398</v>
          </cell>
          <cell r="C3049">
            <v>5</v>
          </cell>
        </row>
        <row r="3050">
          <cell r="B3050">
            <v>41399</v>
          </cell>
          <cell r="C3050">
            <v>5</v>
          </cell>
        </row>
        <row r="3051">
          <cell r="B3051">
            <v>41400</v>
          </cell>
          <cell r="C3051">
            <v>5</v>
          </cell>
        </row>
        <row r="3052">
          <cell r="B3052">
            <v>41401</v>
          </cell>
          <cell r="C3052">
            <v>5</v>
          </cell>
        </row>
        <row r="3053">
          <cell r="B3053">
            <v>41402</v>
          </cell>
          <cell r="C3053">
            <v>5</v>
          </cell>
        </row>
        <row r="3054">
          <cell r="B3054">
            <v>41403</v>
          </cell>
          <cell r="C3054">
            <v>5</v>
          </cell>
        </row>
        <row r="3055">
          <cell r="B3055">
            <v>41404</v>
          </cell>
          <cell r="C3055">
            <v>5</v>
          </cell>
        </row>
        <row r="3056">
          <cell r="B3056">
            <v>41405</v>
          </cell>
          <cell r="C3056">
            <v>5</v>
          </cell>
        </row>
        <row r="3057">
          <cell r="B3057">
            <v>41406</v>
          </cell>
          <cell r="C3057">
            <v>5</v>
          </cell>
        </row>
        <row r="3058">
          <cell r="B3058">
            <v>41407</v>
          </cell>
          <cell r="C3058">
            <v>5</v>
          </cell>
        </row>
        <row r="3059">
          <cell r="B3059">
            <v>41408</v>
          </cell>
          <cell r="C3059">
            <v>5</v>
          </cell>
        </row>
        <row r="3060">
          <cell r="B3060">
            <v>41409</v>
          </cell>
          <cell r="C3060">
            <v>5</v>
          </cell>
        </row>
        <row r="3061">
          <cell r="B3061">
            <v>41410</v>
          </cell>
          <cell r="C3061">
            <v>5</v>
          </cell>
        </row>
        <row r="3062">
          <cell r="B3062">
            <v>41411</v>
          </cell>
          <cell r="C3062">
            <v>5</v>
          </cell>
        </row>
        <row r="3063">
          <cell r="B3063">
            <v>41412</v>
          </cell>
          <cell r="C3063">
            <v>5</v>
          </cell>
        </row>
        <row r="3064">
          <cell r="B3064">
            <v>41413</v>
          </cell>
          <cell r="C3064">
            <v>5</v>
          </cell>
        </row>
        <row r="3065">
          <cell r="B3065">
            <v>41414</v>
          </cell>
          <cell r="C3065">
            <v>5</v>
          </cell>
        </row>
        <row r="3066">
          <cell r="B3066">
            <v>41415</v>
          </cell>
          <cell r="C3066">
            <v>5</v>
          </cell>
        </row>
        <row r="3067">
          <cell r="B3067">
            <v>41416</v>
          </cell>
          <cell r="C3067">
            <v>5</v>
          </cell>
        </row>
        <row r="3068">
          <cell r="B3068">
            <v>41417</v>
          </cell>
          <cell r="C3068">
            <v>5</v>
          </cell>
        </row>
        <row r="3069">
          <cell r="B3069">
            <v>41418</v>
          </cell>
          <cell r="C3069">
            <v>5</v>
          </cell>
        </row>
        <row r="3070">
          <cell r="B3070">
            <v>41419</v>
          </cell>
          <cell r="C3070">
            <v>5</v>
          </cell>
        </row>
        <row r="3071">
          <cell r="B3071">
            <v>41420</v>
          </cell>
          <cell r="C3071">
            <v>5</v>
          </cell>
        </row>
        <row r="3072">
          <cell r="B3072">
            <v>41421</v>
          </cell>
          <cell r="C3072">
            <v>5</v>
          </cell>
        </row>
        <row r="3073">
          <cell r="B3073">
            <v>41422</v>
          </cell>
          <cell r="C3073">
            <v>5</v>
          </cell>
        </row>
        <row r="3074">
          <cell r="B3074">
            <v>41423</v>
          </cell>
          <cell r="C3074">
            <v>5</v>
          </cell>
        </row>
        <row r="3075">
          <cell r="B3075">
            <v>41424</v>
          </cell>
          <cell r="C3075">
            <v>5</v>
          </cell>
        </row>
        <row r="3076">
          <cell r="B3076">
            <v>41425</v>
          </cell>
          <cell r="C3076">
            <v>5</v>
          </cell>
        </row>
        <row r="3077">
          <cell r="B3077">
            <v>41426</v>
          </cell>
          <cell r="C3077">
            <v>6</v>
          </cell>
        </row>
        <row r="3078">
          <cell r="B3078">
            <v>41427</v>
          </cell>
          <cell r="C3078">
            <v>6</v>
          </cell>
        </row>
        <row r="3079">
          <cell r="B3079">
            <v>41428</v>
          </cell>
          <cell r="C3079">
            <v>6</v>
          </cell>
        </row>
        <row r="3080">
          <cell r="B3080">
            <v>41429</v>
          </cell>
          <cell r="C3080">
            <v>6</v>
          </cell>
        </row>
        <row r="3081">
          <cell r="B3081">
            <v>41430</v>
          </cell>
          <cell r="C3081">
            <v>6</v>
          </cell>
        </row>
        <row r="3082">
          <cell r="B3082">
            <v>41431</v>
          </cell>
          <cell r="C3082">
            <v>6</v>
          </cell>
        </row>
        <row r="3083">
          <cell r="B3083">
            <v>41432</v>
          </cell>
          <cell r="C3083">
            <v>6</v>
          </cell>
        </row>
        <row r="3084">
          <cell r="B3084">
            <v>41433</v>
          </cell>
          <cell r="C3084">
            <v>6</v>
          </cell>
        </row>
        <row r="3085">
          <cell r="B3085">
            <v>41434</v>
          </cell>
          <cell r="C3085">
            <v>6</v>
          </cell>
        </row>
        <row r="3086">
          <cell r="B3086">
            <v>41435</v>
          </cell>
          <cell r="C3086">
            <v>6</v>
          </cell>
        </row>
        <row r="3087">
          <cell r="B3087">
            <v>41436</v>
          </cell>
          <cell r="C3087">
            <v>6</v>
          </cell>
        </row>
        <row r="3088">
          <cell r="B3088">
            <v>41437</v>
          </cell>
          <cell r="C3088">
            <v>6</v>
          </cell>
        </row>
        <row r="3089">
          <cell r="B3089">
            <v>41438</v>
          </cell>
          <cell r="C3089">
            <v>6</v>
          </cell>
        </row>
        <row r="3090">
          <cell r="B3090">
            <v>41439</v>
          </cell>
          <cell r="C3090">
            <v>6</v>
          </cell>
        </row>
        <row r="3091">
          <cell r="B3091">
            <v>41440</v>
          </cell>
          <cell r="C3091">
            <v>6</v>
          </cell>
        </row>
        <row r="3092">
          <cell r="B3092">
            <v>41441</v>
          </cell>
          <cell r="C3092">
            <v>6</v>
          </cell>
        </row>
        <row r="3093">
          <cell r="B3093">
            <v>41442</v>
          </cell>
          <cell r="C3093">
            <v>6</v>
          </cell>
        </row>
        <row r="3094">
          <cell r="B3094">
            <v>41443</v>
          </cell>
          <cell r="C3094">
            <v>6</v>
          </cell>
        </row>
        <row r="3095">
          <cell r="B3095">
            <v>41444</v>
          </cell>
          <cell r="C3095">
            <v>6</v>
          </cell>
        </row>
        <row r="3096">
          <cell r="B3096">
            <v>41445</v>
          </cell>
          <cell r="C3096">
            <v>6</v>
          </cell>
        </row>
        <row r="3097">
          <cell r="B3097">
            <v>41446</v>
          </cell>
          <cell r="C3097">
            <v>6</v>
          </cell>
        </row>
        <row r="3098">
          <cell r="B3098">
            <v>41447</v>
          </cell>
          <cell r="C3098">
            <v>6</v>
          </cell>
        </row>
        <row r="3099">
          <cell r="B3099">
            <v>41448</v>
          </cell>
          <cell r="C3099">
            <v>6</v>
          </cell>
        </row>
        <row r="3100">
          <cell r="B3100">
            <v>41449</v>
          </cell>
          <cell r="C3100">
            <v>6</v>
          </cell>
        </row>
        <row r="3101">
          <cell r="B3101">
            <v>41450</v>
          </cell>
          <cell r="C3101">
            <v>6</v>
          </cell>
        </row>
        <row r="3102">
          <cell r="B3102">
            <v>41451</v>
          </cell>
          <cell r="C3102">
            <v>6</v>
          </cell>
        </row>
        <row r="3103">
          <cell r="B3103">
            <v>41452</v>
          </cell>
          <cell r="C3103">
            <v>6</v>
          </cell>
        </row>
        <row r="3104">
          <cell r="B3104">
            <v>41453</v>
          </cell>
          <cell r="C3104">
            <v>6</v>
          </cell>
        </row>
        <row r="3105">
          <cell r="B3105">
            <v>41454</v>
          </cell>
          <cell r="C3105">
            <v>6</v>
          </cell>
        </row>
        <row r="3106">
          <cell r="B3106">
            <v>41455</v>
          </cell>
          <cell r="C3106">
            <v>6</v>
          </cell>
        </row>
        <row r="3107">
          <cell r="B3107">
            <v>41456</v>
          </cell>
          <cell r="C3107">
            <v>7</v>
          </cell>
        </row>
        <row r="3108">
          <cell r="B3108">
            <v>41457</v>
          </cell>
          <cell r="C3108">
            <v>7</v>
          </cell>
        </row>
        <row r="3109">
          <cell r="B3109">
            <v>41458</v>
          </cell>
          <cell r="C3109">
            <v>7</v>
          </cell>
        </row>
        <row r="3110">
          <cell r="B3110">
            <v>41459</v>
          </cell>
          <cell r="C3110">
            <v>7</v>
          </cell>
        </row>
        <row r="3111">
          <cell r="B3111">
            <v>41460</v>
          </cell>
          <cell r="C3111">
            <v>7</v>
          </cell>
        </row>
        <row r="3112">
          <cell r="B3112">
            <v>41461</v>
          </cell>
          <cell r="C3112">
            <v>7</v>
          </cell>
        </row>
        <row r="3113">
          <cell r="B3113">
            <v>41462</v>
          </cell>
          <cell r="C3113">
            <v>7</v>
          </cell>
        </row>
        <row r="3114">
          <cell r="B3114">
            <v>41463</v>
          </cell>
          <cell r="C3114">
            <v>7</v>
          </cell>
        </row>
        <row r="3115">
          <cell r="B3115">
            <v>41464</v>
          </cell>
          <cell r="C3115">
            <v>7</v>
          </cell>
        </row>
        <row r="3116">
          <cell r="B3116">
            <v>41465</v>
          </cell>
          <cell r="C3116">
            <v>7</v>
          </cell>
        </row>
        <row r="3117">
          <cell r="B3117">
            <v>41466</v>
          </cell>
          <cell r="C3117">
            <v>7</v>
          </cell>
        </row>
        <row r="3118">
          <cell r="B3118">
            <v>41467</v>
          </cell>
          <cell r="C3118">
            <v>7</v>
          </cell>
        </row>
        <row r="3119">
          <cell r="B3119">
            <v>41468</v>
          </cell>
          <cell r="C3119">
            <v>7</v>
          </cell>
        </row>
        <row r="3120">
          <cell r="B3120">
            <v>41469</v>
          </cell>
          <cell r="C3120">
            <v>7</v>
          </cell>
        </row>
        <row r="3121">
          <cell r="B3121">
            <v>41470</v>
          </cell>
          <cell r="C3121">
            <v>7</v>
          </cell>
        </row>
        <row r="3122">
          <cell r="B3122">
            <v>41471</v>
          </cell>
          <cell r="C3122">
            <v>7</v>
          </cell>
        </row>
        <row r="3123">
          <cell r="B3123">
            <v>41472</v>
          </cell>
          <cell r="C3123">
            <v>7</v>
          </cell>
        </row>
        <row r="3124">
          <cell r="B3124">
            <v>41473</v>
          </cell>
          <cell r="C3124">
            <v>7</v>
          </cell>
        </row>
        <row r="3125">
          <cell r="B3125">
            <v>41474</v>
          </cell>
          <cell r="C3125">
            <v>7</v>
          </cell>
        </row>
        <row r="3126">
          <cell r="B3126">
            <v>41475</v>
          </cell>
          <cell r="C3126">
            <v>7</v>
          </cell>
        </row>
        <row r="3127">
          <cell r="B3127">
            <v>41476</v>
          </cell>
          <cell r="C3127">
            <v>7</v>
          </cell>
        </row>
        <row r="3128">
          <cell r="B3128">
            <v>41477</v>
          </cell>
          <cell r="C3128">
            <v>7</v>
          </cell>
        </row>
        <row r="3129">
          <cell r="B3129">
            <v>41478</v>
          </cell>
          <cell r="C3129">
            <v>7</v>
          </cell>
        </row>
        <row r="3130">
          <cell r="B3130">
            <v>41479</v>
          </cell>
          <cell r="C3130">
            <v>7</v>
          </cell>
        </row>
        <row r="3131">
          <cell r="B3131">
            <v>41480</v>
          </cell>
          <cell r="C3131">
            <v>7</v>
          </cell>
        </row>
        <row r="3132">
          <cell r="B3132">
            <v>41481</v>
          </cell>
          <cell r="C3132">
            <v>7</v>
          </cell>
        </row>
        <row r="3133">
          <cell r="B3133">
            <v>41482</v>
          </cell>
          <cell r="C3133">
            <v>7</v>
          </cell>
        </row>
        <row r="3134">
          <cell r="B3134">
            <v>41483</v>
          </cell>
          <cell r="C3134">
            <v>7</v>
          </cell>
        </row>
        <row r="3135">
          <cell r="B3135">
            <v>41484</v>
          </cell>
          <cell r="C3135">
            <v>7</v>
          </cell>
        </row>
        <row r="3136">
          <cell r="B3136">
            <v>41485</v>
          </cell>
          <cell r="C3136">
            <v>7</v>
          </cell>
        </row>
        <row r="3137">
          <cell r="B3137">
            <v>41486</v>
          </cell>
          <cell r="C3137">
            <v>7</v>
          </cell>
        </row>
        <row r="3138">
          <cell r="B3138">
            <v>41487</v>
          </cell>
          <cell r="C3138">
            <v>8</v>
          </cell>
        </row>
        <row r="3139">
          <cell r="B3139">
            <v>41488</v>
          </cell>
          <cell r="C3139">
            <v>8</v>
          </cell>
        </row>
        <row r="3140">
          <cell r="B3140">
            <v>41489</v>
          </cell>
          <cell r="C3140">
            <v>8</v>
          </cell>
        </row>
        <row r="3141">
          <cell r="B3141">
            <v>41490</v>
          </cell>
          <cell r="C3141">
            <v>8</v>
          </cell>
        </row>
        <row r="3142">
          <cell r="B3142">
            <v>41491</v>
          </cell>
          <cell r="C3142">
            <v>8</v>
          </cell>
        </row>
        <row r="3143">
          <cell r="B3143">
            <v>41492</v>
          </cell>
          <cell r="C3143">
            <v>8</v>
          </cell>
        </row>
        <row r="3144">
          <cell r="B3144">
            <v>41493</v>
          </cell>
          <cell r="C3144">
            <v>8</v>
          </cell>
        </row>
        <row r="3145">
          <cell r="B3145">
            <v>41494</v>
          </cell>
          <cell r="C3145">
            <v>8</v>
          </cell>
        </row>
        <row r="3146">
          <cell r="B3146">
            <v>41495</v>
          </cell>
          <cell r="C3146">
            <v>8</v>
          </cell>
        </row>
        <row r="3147">
          <cell r="B3147">
            <v>41496</v>
          </cell>
          <cell r="C3147">
            <v>8</v>
          </cell>
        </row>
        <row r="3148">
          <cell r="B3148">
            <v>41497</v>
          </cell>
          <cell r="C3148">
            <v>8</v>
          </cell>
        </row>
        <row r="3149">
          <cell r="B3149">
            <v>41498</v>
          </cell>
          <cell r="C3149">
            <v>8</v>
          </cell>
        </row>
        <row r="3150">
          <cell r="B3150">
            <v>41499</v>
          </cell>
          <cell r="C3150">
            <v>8</v>
          </cell>
        </row>
        <row r="3151">
          <cell r="B3151">
            <v>41500</v>
          </cell>
          <cell r="C3151">
            <v>8</v>
          </cell>
        </row>
        <row r="3152">
          <cell r="B3152">
            <v>41501</v>
          </cell>
          <cell r="C3152">
            <v>8</v>
          </cell>
        </row>
        <row r="3153">
          <cell r="B3153">
            <v>41502</v>
          </cell>
          <cell r="C3153">
            <v>8</v>
          </cell>
        </row>
        <row r="3154">
          <cell r="B3154">
            <v>41503</v>
          </cell>
          <cell r="C3154">
            <v>8</v>
          </cell>
        </row>
        <row r="3155">
          <cell r="B3155">
            <v>41504</v>
          </cell>
          <cell r="C3155">
            <v>8</v>
          </cell>
        </row>
        <row r="3156">
          <cell r="B3156">
            <v>41505</v>
          </cell>
          <cell r="C3156">
            <v>8</v>
          </cell>
        </row>
        <row r="3157">
          <cell r="B3157">
            <v>41506</v>
          </cell>
          <cell r="C3157">
            <v>8</v>
          </cell>
        </row>
        <row r="3158">
          <cell r="B3158">
            <v>41507</v>
          </cell>
          <cell r="C3158">
            <v>8</v>
          </cell>
        </row>
        <row r="3159">
          <cell r="B3159">
            <v>41508</v>
          </cell>
          <cell r="C3159">
            <v>8</v>
          </cell>
        </row>
        <row r="3160">
          <cell r="B3160">
            <v>41509</v>
          </cell>
          <cell r="C3160">
            <v>8</v>
          </cell>
        </row>
        <row r="3161">
          <cell r="B3161">
            <v>41510</v>
          </cell>
          <cell r="C3161">
            <v>8</v>
          </cell>
        </row>
        <row r="3162">
          <cell r="B3162">
            <v>41511</v>
          </cell>
          <cell r="C3162">
            <v>8</v>
          </cell>
        </row>
        <row r="3163">
          <cell r="B3163">
            <v>41512</v>
          </cell>
          <cell r="C3163">
            <v>8</v>
          </cell>
        </row>
        <row r="3164">
          <cell r="B3164">
            <v>41513</v>
          </cell>
          <cell r="C3164">
            <v>8</v>
          </cell>
        </row>
        <row r="3165">
          <cell r="B3165">
            <v>41514</v>
          </cell>
          <cell r="C3165">
            <v>8</v>
          </cell>
        </row>
        <row r="3166">
          <cell r="B3166">
            <v>41515</v>
          </cell>
          <cell r="C3166">
            <v>8</v>
          </cell>
        </row>
        <row r="3167">
          <cell r="B3167">
            <v>41516</v>
          </cell>
          <cell r="C3167">
            <v>8</v>
          </cell>
        </row>
        <row r="3168">
          <cell r="B3168">
            <v>41517</v>
          </cell>
          <cell r="C3168">
            <v>8</v>
          </cell>
        </row>
        <row r="3169">
          <cell r="B3169">
            <v>41518</v>
          </cell>
          <cell r="C3169">
            <v>9</v>
          </cell>
        </row>
        <row r="3170">
          <cell r="B3170">
            <v>41519</v>
          </cell>
          <cell r="C3170">
            <v>9</v>
          </cell>
        </row>
        <row r="3171">
          <cell r="B3171">
            <v>41520</v>
          </cell>
          <cell r="C3171">
            <v>9</v>
          </cell>
        </row>
        <row r="3172">
          <cell r="B3172">
            <v>41521</v>
          </cell>
          <cell r="C3172">
            <v>9</v>
          </cell>
        </row>
        <row r="3173">
          <cell r="B3173">
            <v>41522</v>
          </cell>
          <cell r="C3173">
            <v>9</v>
          </cell>
        </row>
        <row r="3174">
          <cell r="B3174">
            <v>41523</v>
          </cell>
          <cell r="C3174">
            <v>9</v>
          </cell>
        </row>
        <row r="3175">
          <cell r="B3175">
            <v>41524</v>
          </cell>
          <cell r="C3175">
            <v>9</v>
          </cell>
        </row>
        <row r="3176">
          <cell r="B3176">
            <v>41525</v>
          </cell>
          <cell r="C3176">
            <v>9</v>
          </cell>
        </row>
        <row r="3177">
          <cell r="B3177">
            <v>41526</v>
          </cell>
          <cell r="C3177">
            <v>9</v>
          </cell>
        </row>
        <row r="3178">
          <cell r="B3178">
            <v>41527</v>
          </cell>
          <cell r="C3178">
            <v>9</v>
          </cell>
        </row>
        <row r="3179">
          <cell r="B3179">
            <v>41528</v>
          </cell>
          <cell r="C3179">
            <v>9</v>
          </cell>
        </row>
        <row r="3180">
          <cell r="B3180">
            <v>41529</v>
          </cell>
          <cell r="C3180">
            <v>9</v>
          </cell>
        </row>
        <row r="3181">
          <cell r="B3181">
            <v>41530</v>
          </cell>
          <cell r="C3181">
            <v>9</v>
          </cell>
        </row>
        <row r="3182">
          <cell r="B3182">
            <v>41531</v>
          </cell>
          <cell r="C3182">
            <v>9</v>
          </cell>
        </row>
        <row r="3183">
          <cell r="B3183">
            <v>41532</v>
          </cell>
          <cell r="C3183">
            <v>9</v>
          </cell>
        </row>
        <row r="3184">
          <cell r="B3184">
            <v>41533</v>
          </cell>
          <cell r="C3184">
            <v>9</v>
          </cell>
        </row>
        <row r="3185">
          <cell r="B3185">
            <v>41534</v>
          </cell>
          <cell r="C3185">
            <v>9</v>
          </cell>
        </row>
        <row r="3186">
          <cell r="B3186">
            <v>41535</v>
          </cell>
          <cell r="C3186">
            <v>9</v>
          </cell>
        </row>
        <row r="3187">
          <cell r="B3187">
            <v>41536</v>
          </cell>
          <cell r="C3187">
            <v>9</v>
          </cell>
        </row>
        <row r="3188">
          <cell r="B3188">
            <v>41537</v>
          </cell>
          <cell r="C3188">
            <v>9</v>
          </cell>
        </row>
        <row r="3189">
          <cell r="B3189">
            <v>41538</v>
          </cell>
          <cell r="C3189">
            <v>9</v>
          </cell>
        </row>
        <row r="3190">
          <cell r="B3190">
            <v>41539</v>
          </cell>
          <cell r="C3190">
            <v>9</v>
          </cell>
        </row>
        <row r="3191">
          <cell r="B3191">
            <v>41540</v>
          </cell>
          <cell r="C3191">
            <v>9</v>
          </cell>
        </row>
        <row r="3192">
          <cell r="B3192">
            <v>41541</v>
          </cell>
          <cell r="C3192">
            <v>9</v>
          </cell>
        </row>
        <row r="3193">
          <cell r="B3193">
            <v>41542</v>
          </cell>
          <cell r="C3193">
            <v>9</v>
          </cell>
        </row>
        <row r="3194">
          <cell r="B3194">
            <v>41543</v>
          </cell>
          <cell r="C3194">
            <v>9</v>
          </cell>
        </row>
        <row r="3195">
          <cell r="B3195">
            <v>41544</v>
          </cell>
          <cell r="C3195">
            <v>9</v>
          </cell>
        </row>
        <row r="3196">
          <cell r="B3196">
            <v>41545</v>
          </cell>
          <cell r="C3196">
            <v>9</v>
          </cell>
        </row>
        <row r="3197">
          <cell r="B3197">
            <v>41546</v>
          </cell>
          <cell r="C3197">
            <v>9</v>
          </cell>
        </row>
        <row r="3198">
          <cell r="B3198">
            <v>41547</v>
          </cell>
          <cell r="C3198">
            <v>9</v>
          </cell>
        </row>
        <row r="3199">
          <cell r="B3199">
            <v>41548</v>
          </cell>
          <cell r="C3199">
            <v>10</v>
          </cell>
        </row>
        <row r="3200">
          <cell r="B3200">
            <v>41549</v>
          </cell>
          <cell r="C3200">
            <v>10</v>
          </cell>
        </row>
        <row r="3201">
          <cell r="B3201">
            <v>41550</v>
          </cell>
          <cell r="C3201">
            <v>10</v>
          </cell>
        </row>
        <row r="3202">
          <cell r="B3202">
            <v>41551</v>
          </cell>
          <cell r="C3202">
            <v>10</v>
          </cell>
        </row>
        <row r="3203">
          <cell r="B3203">
            <v>41552</v>
          </cell>
          <cell r="C3203">
            <v>10</v>
          </cell>
        </row>
        <row r="3204">
          <cell r="B3204">
            <v>41553</v>
          </cell>
          <cell r="C3204">
            <v>10</v>
          </cell>
        </row>
        <row r="3205">
          <cell r="B3205">
            <v>41554</v>
          </cell>
          <cell r="C3205">
            <v>10</v>
          </cell>
        </row>
        <row r="3206">
          <cell r="B3206">
            <v>41555</v>
          </cell>
          <cell r="C3206">
            <v>10</v>
          </cell>
        </row>
        <row r="3207">
          <cell r="B3207">
            <v>41556</v>
          </cell>
          <cell r="C3207">
            <v>10</v>
          </cell>
        </row>
        <row r="3208">
          <cell r="B3208">
            <v>41557</v>
          </cell>
          <cell r="C3208">
            <v>10</v>
          </cell>
        </row>
        <row r="3209">
          <cell r="B3209">
            <v>41558</v>
          </cell>
          <cell r="C3209">
            <v>10</v>
          </cell>
        </row>
        <row r="3210">
          <cell r="B3210">
            <v>41559</v>
          </cell>
          <cell r="C3210">
            <v>10</v>
          </cell>
        </row>
        <row r="3211">
          <cell r="B3211">
            <v>41560</v>
          </cell>
          <cell r="C3211">
            <v>10</v>
          </cell>
        </row>
        <row r="3212">
          <cell r="B3212">
            <v>41561</v>
          </cell>
          <cell r="C3212">
            <v>10</v>
          </cell>
        </row>
        <row r="3213">
          <cell r="B3213">
            <v>41562</v>
          </cell>
          <cell r="C3213">
            <v>10</v>
          </cell>
        </row>
        <row r="3214">
          <cell r="B3214">
            <v>41563</v>
          </cell>
          <cell r="C3214">
            <v>10</v>
          </cell>
        </row>
        <row r="3215">
          <cell r="B3215">
            <v>41564</v>
          </cell>
          <cell r="C3215">
            <v>10</v>
          </cell>
        </row>
        <row r="3216">
          <cell r="B3216">
            <v>41565</v>
          </cell>
          <cell r="C3216">
            <v>10</v>
          </cell>
        </row>
        <row r="3217">
          <cell r="B3217">
            <v>41566</v>
          </cell>
          <cell r="C3217">
            <v>10</v>
          </cell>
        </row>
        <row r="3218">
          <cell r="B3218">
            <v>41567</v>
          </cell>
          <cell r="C3218">
            <v>10</v>
          </cell>
        </row>
        <row r="3219">
          <cell r="B3219">
            <v>41568</v>
          </cell>
          <cell r="C3219">
            <v>10</v>
          </cell>
        </row>
        <row r="3220">
          <cell r="B3220">
            <v>41569</v>
          </cell>
          <cell r="C3220">
            <v>10</v>
          </cell>
        </row>
        <row r="3221">
          <cell r="B3221">
            <v>41570</v>
          </cell>
          <cell r="C3221">
            <v>10</v>
          </cell>
        </row>
        <row r="3222">
          <cell r="B3222">
            <v>41571</v>
          </cell>
          <cell r="C3222">
            <v>10</v>
          </cell>
        </row>
        <row r="3223">
          <cell r="B3223">
            <v>41572</v>
          </cell>
          <cell r="C3223">
            <v>10</v>
          </cell>
        </row>
        <row r="3224">
          <cell r="B3224">
            <v>41573</v>
          </cell>
          <cell r="C3224">
            <v>10</v>
          </cell>
        </row>
        <row r="3225">
          <cell r="B3225">
            <v>41574</v>
          </cell>
          <cell r="C3225">
            <v>10</v>
          </cell>
        </row>
        <row r="3226">
          <cell r="B3226">
            <v>41575</v>
          </cell>
          <cell r="C3226">
            <v>10</v>
          </cell>
        </row>
        <row r="3227">
          <cell r="B3227">
            <v>41576</v>
          </cell>
          <cell r="C3227">
            <v>10</v>
          </cell>
        </row>
        <row r="3228">
          <cell r="B3228">
            <v>41577</v>
          </cell>
          <cell r="C3228">
            <v>10</v>
          </cell>
        </row>
        <row r="3229">
          <cell r="B3229">
            <v>41578</v>
          </cell>
          <cell r="C3229">
            <v>10</v>
          </cell>
        </row>
        <row r="3230">
          <cell r="B3230">
            <v>41579</v>
          </cell>
          <cell r="C3230">
            <v>11</v>
          </cell>
        </row>
        <row r="3231">
          <cell r="B3231">
            <v>41580</v>
          </cell>
          <cell r="C3231">
            <v>11</v>
          </cell>
        </row>
        <row r="3232">
          <cell r="B3232">
            <v>41581</v>
          </cell>
          <cell r="C3232">
            <v>11</v>
          </cell>
        </row>
        <row r="3233">
          <cell r="B3233">
            <v>41582</v>
          </cell>
          <cell r="C3233">
            <v>11</v>
          </cell>
        </row>
        <row r="3234">
          <cell r="B3234">
            <v>41583</v>
          </cell>
          <cell r="C3234">
            <v>11</v>
          </cell>
        </row>
        <row r="3235">
          <cell r="B3235">
            <v>41584</v>
          </cell>
          <cell r="C3235">
            <v>11</v>
          </cell>
        </row>
        <row r="3236">
          <cell r="B3236">
            <v>41585</v>
          </cell>
          <cell r="C3236">
            <v>11</v>
          </cell>
        </row>
        <row r="3237">
          <cell r="B3237">
            <v>41586</v>
          </cell>
          <cell r="C3237">
            <v>11</v>
          </cell>
        </row>
        <row r="3238">
          <cell r="B3238">
            <v>41587</v>
          </cell>
          <cell r="C3238">
            <v>11</v>
          </cell>
        </row>
        <row r="3239">
          <cell r="B3239">
            <v>41588</v>
          </cell>
          <cell r="C3239">
            <v>11</v>
          </cell>
        </row>
        <row r="3240">
          <cell r="B3240">
            <v>41589</v>
          </cell>
          <cell r="C3240">
            <v>11</v>
          </cell>
        </row>
        <row r="3241">
          <cell r="B3241">
            <v>41590</v>
          </cell>
          <cell r="C3241">
            <v>11</v>
          </cell>
        </row>
        <row r="3242">
          <cell r="B3242">
            <v>41591</v>
          </cell>
          <cell r="C3242">
            <v>11</v>
          </cell>
        </row>
        <row r="3243">
          <cell r="B3243">
            <v>41592</v>
          </cell>
          <cell r="C3243">
            <v>11</v>
          </cell>
        </row>
        <row r="3244">
          <cell r="B3244">
            <v>41593</v>
          </cell>
          <cell r="C3244">
            <v>11</v>
          </cell>
        </row>
        <row r="3245">
          <cell r="B3245">
            <v>41594</v>
          </cell>
          <cell r="C3245">
            <v>11</v>
          </cell>
        </row>
        <row r="3246">
          <cell r="B3246">
            <v>41595</v>
          </cell>
          <cell r="C3246">
            <v>11</v>
          </cell>
        </row>
        <row r="3247">
          <cell r="B3247">
            <v>41596</v>
          </cell>
          <cell r="C3247">
            <v>11</v>
          </cell>
        </row>
        <row r="3248">
          <cell r="B3248">
            <v>41597</v>
          </cell>
          <cell r="C3248">
            <v>11</v>
          </cell>
        </row>
        <row r="3249">
          <cell r="B3249">
            <v>41598</v>
          </cell>
          <cell r="C3249">
            <v>11</v>
          </cell>
        </row>
        <row r="3250">
          <cell r="B3250">
            <v>41599</v>
          </cell>
          <cell r="C3250">
            <v>11</v>
          </cell>
        </row>
        <row r="3251">
          <cell r="B3251">
            <v>41600</v>
          </cell>
          <cell r="C3251">
            <v>11</v>
          </cell>
        </row>
        <row r="3252">
          <cell r="B3252">
            <v>41601</v>
          </cell>
          <cell r="C3252">
            <v>11</v>
          </cell>
        </row>
        <row r="3253">
          <cell r="B3253">
            <v>41602</v>
          </cell>
          <cell r="C3253">
            <v>11</v>
          </cell>
        </row>
        <row r="3254">
          <cell r="B3254">
            <v>41603</v>
          </cell>
          <cell r="C3254">
            <v>11</v>
          </cell>
        </row>
        <row r="3255">
          <cell r="B3255">
            <v>41604</v>
          </cell>
          <cell r="C3255">
            <v>11</v>
          </cell>
        </row>
        <row r="3256">
          <cell r="B3256">
            <v>41605</v>
          </cell>
          <cell r="C3256">
            <v>11</v>
          </cell>
        </row>
        <row r="3257">
          <cell r="B3257">
            <v>41606</v>
          </cell>
          <cell r="C3257">
            <v>11</v>
          </cell>
        </row>
        <row r="3258">
          <cell r="B3258">
            <v>41607</v>
          </cell>
          <cell r="C3258">
            <v>11</v>
          </cell>
        </row>
        <row r="3259">
          <cell r="B3259">
            <v>41608</v>
          </cell>
          <cell r="C3259">
            <v>11</v>
          </cell>
        </row>
        <row r="3260">
          <cell r="B3260">
            <v>41609</v>
          </cell>
          <cell r="C3260">
            <v>12</v>
          </cell>
        </row>
        <row r="3261">
          <cell r="B3261">
            <v>41610</v>
          </cell>
          <cell r="C3261">
            <v>12</v>
          </cell>
        </row>
        <row r="3262">
          <cell r="B3262">
            <v>41611</v>
          </cell>
          <cell r="C3262">
            <v>12</v>
          </cell>
        </row>
        <row r="3263">
          <cell r="B3263">
            <v>41612</v>
          </cell>
          <cell r="C3263">
            <v>12</v>
          </cell>
        </row>
        <row r="3264">
          <cell r="B3264">
            <v>41613</v>
          </cell>
          <cell r="C3264">
            <v>12</v>
          </cell>
        </row>
        <row r="3265">
          <cell r="B3265">
            <v>41614</v>
          </cell>
          <cell r="C3265">
            <v>12</v>
          </cell>
        </row>
        <row r="3266">
          <cell r="B3266">
            <v>41615</v>
          </cell>
          <cell r="C3266">
            <v>12</v>
          </cell>
        </row>
        <row r="3267">
          <cell r="B3267">
            <v>41616</v>
          </cell>
          <cell r="C3267">
            <v>12</v>
          </cell>
        </row>
        <row r="3268">
          <cell r="B3268">
            <v>41617</v>
          </cell>
          <cell r="C3268">
            <v>12</v>
          </cell>
        </row>
        <row r="3269">
          <cell r="B3269">
            <v>41618</v>
          </cell>
          <cell r="C3269">
            <v>12</v>
          </cell>
        </row>
        <row r="3270">
          <cell r="B3270">
            <v>41619</v>
          </cell>
          <cell r="C3270">
            <v>12</v>
          </cell>
        </row>
        <row r="3271">
          <cell r="B3271">
            <v>41620</v>
          </cell>
          <cell r="C3271">
            <v>12</v>
          </cell>
        </row>
        <row r="3272">
          <cell r="B3272">
            <v>41621</v>
          </cell>
          <cell r="C3272">
            <v>12</v>
          </cell>
        </row>
        <row r="3273">
          <cell r="B3273">
            <v>41622</v>
          </cell>
          <cell r="C3273">
            <v>12</v>
          </cell>
        </row>
        <row r="3274">
          <cell r="B3274">
            <v>41623</v>
          </cell>
          <cell r="C3274">
            <v>12</v>
          </cell>
        </row>
        <row r="3275">
          <cell r="B3275">
            <v>41624</v>
          </cell>
          <cell r="C3275">
            <v>12</v>
          </cell>
        </row>
        <row r="3276">
          <cell r="B3276">
            <v>41625</v>
          </cell>
          <cell r="C3276">
            <v>12</v>
          </cell>
        </row>
        <row r="3277">
          <cell r="B3277">
            <v>41626</v>
          </cell>
          <cell r="C3277">
            <v>12</v>
          </cell>
        </row>
        <row r="3278">
          <cell r="B3278">
            <v>41627</v>
          </cell>
          <cell r="C3278">
            <v>12</v>
          </cell>
        </row>
        <row r="3279">
          <cell r="B3279">
            <v>41628</v>
          </cell>
          <cell r="C3279">
            <v>12</v>
          </cell>
        </row>
        <row r="3280">
          <cell r="B3280">
            <v>41629</v>
          </cell>
          <cell r="C3280">
            <v>12</v>
          </cell>
        </row>
        <row r="3281">
          <cell r="B3281">
            <v>41630</v>
          </cell>
          <cell r="C3281">
            <v>12</v>
          </cell>
        </row>
        <row r="3282">
          <cell r="B3282">
            <v>41631</v>
          </cell>
          <cell r="C3282">
            <v>12</v>
          </cell>
        </row>
        <row r="3283">
          <cell r="B3283">
            <v>41632</v>
          </cell>
          <cell r="C3283">
            <v>12</v>
          </cell>
        </row>
        <row r="3284">
          <cell r="B3284">
            <v>41633</v>
          </cell>
          <cell r="C3284">
            <v>12</v>
          </cell>
        </row>
        <row r="3285">
          <cell r="B3285">
            <v>41634</v>
          </cell>
          <cell r="C3285">
            <v>12</v>
          </cell>
        </row>
        <row r="3286">
          <cell r="B3286">
            <v>41635</v>
          </cell>
          <cell r="C3286">
            <v>12</v>
          </cell>
        </row>
        <row r="3287">
          <cell r="B3287">
            <v>41636</v>
          </cell>
          <cell r="C3287">
            <v>12</v>
          </cell>
        </row>
        <row r="3288">
          <cell r="B3288">
            <v>41637</v>
          </cell>
          <cell r="C3288">
            <v>12</v>
          </cell>
        </row>
        <row r="3289">
          <cell r="B3289">
            <v>41638</v>
          </cell>
          <cell r="C3289">
            <v>12</v>
          </cell>
        </row>
        <row r="3290">
          <cell r="B3290">
            <v>41639</v>
          </cell>
          <cell r="C3290">
            <v>12</v>
          </cell>
        </row>
        <row r="3291">
          <cell r="B3291">
            <v>41640</v>
          </cell>
          <cell r="C3291">
            <v>1</v>
          </cell>
        </row>
        <row r="3292">
          <cell r="B3292">
            <v>41641</v>
          </cell>
          <cell r="C3292">
            <v>1</v>
          </cell>
        </row>
        <row r="3293">
          <cell r="B3293">
            <v>41642</v>
          </cell>
          <cell r="C3293">
            <v>1</v>
          </cell>
        </row>
        <row r="3294">
          <cell r="B3294">
            <v>41643</v>
          </cell>
          <cell r="C3294">
            <v>1</v>
          </cell>
        </row>
        <row r="3295">
          <cell r="B3295">
            <v>41644</v>
          </cell>
          <cell r="C3295">
            <v>1</v>
          </cell>
        </row>
        <row r="3296">
          <cell r="B3296">
            <v>41645</v>
          </cell>
          <cell r="C3296">
            <v>1</v>
          </cell>
        </row>
        <row r="3297">
          <cell r="B3297">
            <v>41646</v>
          </cell>
          <cell r="C3297">
            <v>1</v>
          </cell>
        </row>
        <row r="3298">
          <cell r="B3298">
            <v>41647</v>
          </cell>
          <cell r="C3298">
            <v>1</v>
          </cell>
        </row>
        <row r="3299">
          <cell r="B3299">
            <v>41648</v>
          </cell>
          <cell r="C3299">
            <v>1</v>
          </cell>
        </row>
        <row r="3300">
          <cell r="B3300">
            <v>41649</v>
          </cell>
          <cell r="C3300">
            <v>1</v>
          </cell>
        </row>
        <row r="3301">
          <cell r="B3301">
            <v>41650</v>
          </cell>
          <cell r="C3301">
            <v>1</v>
          </cell>
        </row>
        <row r="3302">
          <cell r="B3302">
            <v>41651</v>
          </cell>
          <cell r="C3302">
            <v>1</v>
          </cell>
        </row>
        <row r="3303">
          <cell r="B3303">
            <v>41652</v>
          </cell>
          <cell r="C3303">
            <v>1</v>
          </cell>
        </row>
        <row r="3304">
          <cell r="B3304">
            <v>41653</v>
          </cell>
          <cell r="C3304">
            <v>1</v>
          </cell>
        </row>
        <row r="3305">
          <cell r="B3305">
            <v>41654</v>
          </cell>
          <cell r="C3305">
            <v>1</v>
          </cell>
        </row>
        <row r="3306">
          <cell r="B3306">
            <v>41655</v>
          </cell>
          <cell r="C3306">
            <v>1</v>
          </cell>
        </row>
        <row r="3307">
          <cell r="B3307">
            <v>41656</v>
          </cell>
          <cell r="C3307">
            <v>1</v>
          </cell>
        </row>
        <row r="3308">
          <cell r="B3308">
            <v>41657</v>
          </cell>
          <cell r="C3308">
            <v>1</v>
          </cell>
        </row>
        <row r="3309">
          <cell r="B3309">
            <v>41658</v>
          </cell>
          <cell r="C3309">
            <v>1</v>
          </cell>
        </row>
        <row r="3310">
          <cell r="B3310">
            <v>41659</v>
          </cell>
          <cell r="C3310">
            <v>1</v>
          </cell>
        </row>
        <row r="3311">
          <cell r="B3311">
            <v>41660</v>
          </cell>
          <cell r="C3311">
            <v>1</v>
          </cell>
        </row>
        <row r="3312">
          <cell r="B3312">
            <v>41661</v>
          </cell>
          <cell r="C3312">
            <v>1</v>
          </cell>
        </row>
        <row r="3313">
          <cell r="B3313">
            <v>41662</v>
          </cell>
          <cell r="C3313">
            <v>1</v>
          </cell>
        </row>
        <row r="3314">
          <cell r="B3314">
            <v>41663</v>
          </cell>
          <cell r="C3314">
            <v>1</v>
          </cell>
        </row>
        <row r="3315">
          <cell r="B3315">
            <v>41664</v>
          </cell>
          <cell r="C3315">
            <v>1</v>
          </cell>
        </row>
        <row r="3316">
          <cell r="B3316">
            <v>41665</v>
          </cell>
          <cell r="C3316">
            <v>1</v>
          </cell>
        </row>
        <row r="3317">
          <cell r="B3317">
            <v>41666</v>
          </cell>
          <cell r="C3317">
            <v>1</v>
          </cell>
        </row>
        <row r="3318">
          <cell r="B3318">
            <v>41667</v>
          </cell>
          <cell r="C3318">
            <v>1</v>
          </cell>
        </row>
        <row r="3319">
          <cell r="B3319">
            <v>41668</v>
          </cell>
          <cell r="C3319">
            <v>1</v>
          </cell>
        </row>
        <row r="3320">
          <cell r="B3320">
            <v>41669</v>
          </cell>
          <cell r="C3320">
            <v>1</v>
          </cell>
        </row>
        <row r="3321">
          <cell r="B3321">
            <v>41670</v>
          </cell>
          <cell r="C3321">
            <v>1</v>
          </cell>
        </row>
        <row r="3322">
          <cell r="B3322">
            <v>41671</v>
          </cell>
          <cell r="C3322">
            <v>2</v>
          </cell>
        </row>
        <row r="3323">
          <cell r="B3323">
            <v>41672</v>
          </cell>
          <cell r="C3323">
            <v>2</v>
          </cell>
        </row>
        <row r="3324">
          <cell r="B3324">
            <v>41673</v>
          </cell>
          <cell r="C3324">
            <v>2</v>
          </cell>
        </row>
        <row r="3325">
          <cell r="B3325">
            <v>41674</v>
          </cell>
          <cell r="C3325">
            <v>2</v>
          </cell>
        </row>
        <row r="3326">
          <cell r="B3326">
            <v>41675</v>
          </cell>
          <cell r="C3326">
            <v>2</v>
          </cell>
        </row>
        <row r="3327">
          <cell r="B3327">
            <v>41676</v>
          </cell>
          <cell r="C3327">
            <v>2</v>
          </cell>
        </row>
        <row r="3328">
          <cell r="B3328">
            <v>41677</v>
          </cell>
          <cell r="C3328">
            <v>2</v>
          </cell>
        </row>
        <row r="3329">
          <cell r="B3329">
            <v>41678</v>
          </cell>
          <cell r="C3329">
            <v>2</v>
          </cell>
        </row>
        <row r="3330">
          <cell r="B3330">
            <v>41679</v>
          </cell>
          <cell r="C3330">
            <v>2</v>
          </cell>
        </row>
        <row r="3331">
          <cell r="B3331">
            <v>41680</v>
          </cell>
          <cell r="C3331">
            <v>2</v>
          </cell>
        </row>
        <row r="3332">
          <cell r="B3332">
            <v>41681</v>
          </cell>
          <cell r="C3332">
            <v>2</v>
          </cell>
        </row>
        <row r="3333">
          <cell r="B3333">
            <v>41682</v>
          </cell>
          <cell r="C3333">
            <v>2</v>
          </cell>
        </row>
        <row r="3334">
          <cell r="B3334">
            <v>41683</v>
          </cell>
          <cell r="C3334">
            <v>2</v>
          </cell>
        </row>
        <row r="3335">
          <cell r="B3335">
            <v>41684</v>
          </cell>
          <cell r="C3335">
            <v>2</v>
          </cell>
        </row>
        <row r="3336">
          <cell r="B3336">
            <v>41685</v>
          </cell>
          <cell r="C3336">
            <v>2</v>
          </cell>
        </row>
        <row r="3337">
          <cell r="B3337">
            <v>41686</v>
          </cell>
          <cell r="C3337">
            <v>2</v>
          </cell>
        </row>
        <row r="3338">
          <cell r="B3338">
            <v>41687</v>
          </cell>
          <cell r="C3338">
            <v>2</v>
          </cell>
        </row>
        <row r="3339">
          <cell r="B3339">
            <v>41688</v>
          </cell>
          <cell r="C3339">
            <v>2</v>
          </cell>
        </row>
        <row r="3340">
          <cell r="B3340">
            <v>41689</v>
          </cell>
          <cell r="C3340">
            <v>2</v>
          </cell>
        </row>
        <row r="3341">
          <cell r="B3341">
            <v>41690</v>
          </cell>
          <cell r="C3341">
            <v>2</v>
          </cell>
        </row>
        <row r="3342">
          <cell r="B3342">
            <v>41691</v>
          </cell>
          <cell r="C3342">
            <v>2</v>
          </cell>
        </row>
        <row r="3343">
          <cell r="B3343">
            <v>41692</v>
          </cell>
          <cell r="C3343">
            <v>2</v>
          </cell>
        </row>
        <row r="3344">
          <cell r="B3344">
            <v>41693</v>
          </cell>
          <cell r="C3344">
            <v>2</v>
          </cell>
        </row>
        <row r="3345">
          <cell r="B3345">
            <v>41694</v>
          </cell>
          <cell r="C3345">
            <v>2</v>
          </cell>
        </row>
        <row r="3346">
          <cell r="B3346">
            <v>41695</v>
          </cell>
          <cell r="C3346">
            <v>2</v>
          </cell>
        </row>
        <row r="3347">
          <cell r="B3347">
            <v>41696</v>
          </cell>
          <cell r="C3347">
            <v>2</v>
          </cell>
        </row>
        <row r="3348">
          <cell r="B3348">
            <v>41697</v>
          </cell>
          <cell r="C3348">
            <v>2</v>
          </cell>
        </row>
        <row r="3349">
          <cell r="B3349">
            <v>41698</v>
          </cell>
          <cell r="C3349">
            <v>2</v>
          </cell>
        </row>
        <row r="3350">
          <cell r="B3350">
            <v>41699</v>
          </cell>
          <cell r="C3350">
            <v>3</v>
          </cell>
        </row>
        <row r="3351">
          <cell r="B3351">
            <v>41700</v>
          </cell>
          <cell r="C3351">
            <v>3</v>
          </cell>
        </row>
        <row r="3352">
          <cell r="B3352">
            <v>41701</v>
          </cell>
          <cell r="C3352">
            <v>3</v>
          </cell>
        </row>
        <row r="3353">
          <cell r="B3353">
            <v>41702</v>
          </cell>
          <cell r="C3353">
            <v>3</v>
          </cell>
        </row>
        <row r="3354">
          <cell r="B3354">
            <v>41703</v>
          </cell>
          <cell r="C3354">
            <v>3</v>
          </cell>
        </row>
        <row r="3355">
          <cell r="B3355">
            <v>41704</v>
          </cell>
          <cell r="C3355">
            <v>3</v>
          </cell>
        </row>
        <row r="3356">
          <cell r="B3356">
            <v>41705</v>
          </cell>
          <cell r="C3356">
            <v>3</v>
          </cell>
        </row>
        <row r="3357">
          <cell r="B3357">
            <v>41706</v>
          </cell>
          <cell r="C3357">
            <v>3</v>
          </cell>
        </row>
        <row r="3358">
          <cell r="B3358">
            <v>41707</v>
          </cell>
          <cell r="C3358">
            <v>3</v>
          </cell>
        </row>
        <row r="3359">
          <cell r="B3359">
            <v>41708</v>
          </cell>
          <cell r="C3359">
            <v>3</v>
          </cell>
        </row>
        <row r="3360">
          <cell r="B3360">
            <v>41709</v>
          </cell>
          <cell r="C3360">
            <v>3</v>
          </cell>
        </row>
        <row r="3361">
          <cell r="B3361">
            <v>41710</v>
          </cell>
          <cell r="C3361">
            <v>3</v>
          </cell>
        </row>
        <row r="3362">
          <cell r="B3362">
            <v>41711</v>
          </cell>
          <cell r="C3362">
            <v>3</v>
          </cell>
        </row>
        <row r="3363">
          <cell r="B3363">
            <v>41712</v>
          </cell>
          <cell r="C3363">
            <v>3</v>
          </cell>
        </row>
        <row r="3364">
          <cell r="B3364">
            <v>41713</v>
          </cell>
          <cell r="C3364">
            <v>3</v>
          </cell>
        </row>
        <row r="3365">
          <cell r="B3365">
            <v>41714</v>
          </cell>
          <cell r="C3365">
            <v>3</v>
          </cell>
        </row>
        <row r="3366">
          <cell r="B3366">
            <v>41715</v>
          </cell>
          <cell r="C3366">
            <v>3</v>
          </cell>
        </row>
        <row r="3367">
          <cell r="B3367">
            <v>41716</v>
          </cell>
          <cell r="C3367">
            <v>3</v>
          </cell>
        </row>
        <row r="3368">
          <cell r="B3368">
            <v>41717</v>
          </cell>
          <cell r="C3368">
            <v>3</v>
          </cell>
        </row>
        <row r="3369">
          <cell r="B3369">
            <v>41718</v>
          </cell>
          <cell r="C3369">
            <v>3</v>
          </cell>
        </row>
        <row r="3370">
          <cell r="B3370">
            <v>41719</v>
          </cell>
          <cell r="C3370">
            <v>3</v>
          </cell>
        </row>
        <row r="3371">
          <cell r="B3371">
            <v>41720</v>
          </cell>
          <cell r="C3371">
            <v>3</v>
          </cell>
        </row>
        <row r="3372">
          <cell r="B3372">
            <v>41721</v>
          </cell>
          <cell r="C3372">
            <v>3</v>
          </cell>
        </row>
        <row r="3373">
          <cell r="B3373">
            <v>41722</v>
          </cell>
          <cell r="C3373">
            <v>3</v>
          </cell>
        </row>
        <row r="3374">
          <cell r="B3374">
            <v>41723</v>
          </cell>
          <cell r="C3374">
            <v>3</v>
          </cell>
        </row>
        <row r="3375">
          <cell r="B3375">
            <v>41724</v>
          </cell>
          <cell r="C3375">
            <v>3</v>
          </cell>
        </row>
        <row r="3376">
          <cell r="B3376">
            <v>41725</v>
          </cell>
          <cell r="C3376">
            <v>3</v>
          </cell>
        </row>
        <row r="3377">
          <cell r="B3377">
            <v>41726</v>
          </cell>
          <cell r="C3377">
            <v>3</v>
          </cell>
        </row>
        <row r="3378">
          <cell r="B3378">
            <v>41727</v>
          </cell>
          <cell r="C3378">
            <v>3</v>
          </cell>
        </row>
        <row r="3379">
          <cell r="B3379">
            <v>41728</v>
          </cell>
          <cell r="C3379">
            <v>3</v>
          </cell>
        </row>
        <row r="3380">
          <cell r="B3380">
            <v>41729</v>
          </cell>
          <cell r="C3380">
            <v>3</v>
          </cell>
        </row>
        <row r="3381">
          <cell r="B3381">
            <v>41730</v>
          </cell>
          <cell r="C3381">
            <v>4</v>
          </cell>
        </row>
        <row r="3382">
          <cell r="B3382">
            <v>41731</v>
          </cell>
          <cell r="C3382">
            <v>4</v>
          </cell>
        </row>
        <row r="3383">
          <cell r="B3383">
            <v>41732</v>
          </cell>
          <cell r="C3383">
            <v>4</v>
          </cell>
        </row>
        <row r="3384">
          <cell r="B3384">
            <v>41733</v>
          </cell>
          <cell r="C3384">
            <v>4</v>
          </cell>
        </row>
        <row r="3385">
          <cell r="B3385">
            <v>41734</v>
          </cell>
          <cell r="C3385">
            <v>4</v>
          </cell>
        </row>
        <row r="3386">
          <cell r="B3386">
            <v>41735</v>
          </cell>
          <cell r="C3386">
            <v>4</v>
          </cell>
        </row>
        <row r="3387">
          <cell r="B3387">
            <v>41736</v>
          </cell>
          <cell r="C3387">
            <v>4</v>
          </cell>
        </row>
        <row r="3388">
          <cell r="B3388">
            <v>41737</v>
          </cell>
          <cell r="C3388">
            <v>4</v>
          </cell>
        </row>
        <row r="3389">
          <cell r="B3389">
            <v>41738</v>
          </cell>
          <cell r="C3389">
            <v>4</v>
          </cell>
        </row>
        <row r="3390">
          <cell r="B3390">
            <v>41739</v>
          </cell>
          <cell r="C3390">
            <v>4</v>
          </cell>
        </row>
        <row r="3391">
          <cell r="B3391">
            <v>41740</v>
          </cell>
          <cell r="C3391">
            <v>4</v>
          </cell>
        </row>
        <row r="3392">
          <cell r="B3392">
            <v>41741</v>
          </cell>
          <cell r="C3392">
            <v>4</v>
          </cell>
        </row>
        <row r="3393">
          <cell r="B3393">
            <v>41742</v>
          </cell>
          <cell r="C3393">
            <v>4</v>
          </cell>
        </row>
        <row r="3394">
          <cell r="B3394">
            <v>41743</v>
          </cell>
          <cell r="C3394">
            <v>4</v>
          </cell>
        </row>
        <row r="3395">
          <cell r="B3395">
            <v>41744</v>
          </cell>
          <cell r="C3395">
            <v>4</v>
          </cell>
        </row>
        <row r="3396">
          <cell r="B3396">
            <v>41745</v>
          </cell>
          <cell r="C3396">
            <v>4</v>
          </cell>
        </row>
        <row r="3397">
          <cell r="B3397">
            <v>41746</v>
          </cell>
          <cell r="C3397">
            <v>4</v>
          </cell>
        </row>
        <row r="3398">
          <cell r="B3398">
            <v>41747</v>
          </cell>
          <cell r="C3398">
            <v>4</v>
          </cell>
        </row>
        <row r="3399">
          <cell r="B3399">
            <v>41748</v>
          </cell>
          <cell r="C3399">
            <v>4</v>
          </cell>
        </row>
        <row r="3400">
          <cell r="B3400">
            <v>41749</v>
          </cell>
          <cell r="C3400">
            <v>4</v>
          </cell>
        </row>
        <row r="3401">
          <cell r="B3401">
            <v>41750</v>
          </cell>
          <cell r="C3401">
            <v>4</v>
          </cell>
        </row>
        <row r="3402">
          <cell r="B3402">
            <v>41751</v>
          </cell>
          <cell r="C3402">
            <v>4</v>
          </cell>
        </row>
        <row r="3403">
          <cell r="B3403">
            <v>41752</v>
          </cell>
          <cell r="C3403">
            <v>4</v>
          </cell>
        </row>
        <row r="3404">
          <cell r="B3404">
            <v>41753</v>
          </cell>
          <cell r="C3404">
            <v>4</v>
          </cell>
        </row>
        <row r="3405">
          <cell r="B3405">
            <v>41754</v>
          </cell>
          <cell r="C3405">
            <v>4</v>
          </cell>
        </row>
        <row r="3406">
          <cell r="B3406">
            <v>41755</v>
          </cell>
          <cell r="C3406">
            <v>4</v>
          </cell>
        </row>
        <row r="3407">
          <cell r="B3407">
            <v>41756</v>
          </cell>
          <cell r="C3407">
            <v>4</v>
          </cell>
        </row>
        <row r="3408">
          <cell r="B3408">
            <v>41757</v>
          </cell>
          <cell r="C3408">
            <v>4</v>
          </cell>
        </row>
        <row r="3409">
          <cell r="B3409">
            <v>41758</v>
          </cell>
          <cell r="C3409">
            <v>4</v>
          </cell>
        </row>
        <row r="3410">
          <cell r="B3410">
            <v>41759</v>
          </cell>
          <cell r="C3410">
            <v>4</v>
          </cell>
        </row>
        <row r="3411">
          <cell r="B3411">
            <v>41760</v>
          </cell>
          <cell r="C3411">
            <v>5</v>
          </cell>
        </row>
        <row r="3412">
          <cell r="B3412">
            <v>41761</v>
          </cell>
          <cell r="C3412">
            <v>5</v>
          </cell>
        </row>
        <row r="3413">
          <cell r="B3413">
            <v>41762</v>
          </cell>
          <cell r="C3413">
            <v>5</v>
          </cell>
        </row>
        <row r="3414">
          <cell r="B3414">
            <v>41763</v>
          </cell>
          <cell r="C3414">
            <v>5</v>
          </cell>
        </row>
        <row r="3415">
          <cell r="B3415">
            <v>41764</v>
          </cell>
          <cell r="C3415">
            <v>5</v>
          </cell>
        </row>
        <row r="3416">
          <cell r="B3416">
            <v>41765</v>
          </cell>
          <cell r="C3416">
            <v>5</v>
          </cell>
        </row>
        <row r="3417">
          <cell r="B3417">
            <v>41766</v>
          </cell>
          <cell r="C3417">
            <v>5</v>
          </cell>
        </row>
        <row r="3418">
          <cell r="B3418">
            <v>41767</v>
          </cell>
          <cell r="C3418">
            <v>5</v>
          </cell>
        </row>
        <row r="3419">
          <cell r="B3419">
            <v>41768</v>
          </cell>
          <cell r="C3419">
            <v>5</v>
          </cell>
        </row>
        <row r="3420">
          <cell r="B3420">
            <v>41769</v>
          </cell>
          <cell r="C3420">
            <v>5</v>
          </cell>
        </row>
        <row r="3421">
          <cell r="B3421">
            <v>41770</v>
          </cell>
          <cell r="C3421">
            <v>5</v>
          </cell>
        </row>
        <row r="3422">
          <cell r="B3422">
            <v>41771</v>
          </cell>
          <cell r="C3422">
            <v>5</v>
          </cell>
        </row>
        <row r="3423">
          <cell r="B3423">
            <v>41772</v>
          </cell>
          <cell r="C3423">
            <v>5</v>
          </cell>
        </row>
        <row r="3424">
          <cell r="B3424">
            <v>41773</v>
          </cell>
          <cell r="C3424">
            <v>5</v>
          </cell>
        </row>
        <row r="3425">
          <cell r="B3425">
            <v>41774</v>
          </cell>
          <cell r="C3425">
            <v>5</v>
          </cell>
        </row>
        <row r="3426">
          <cell r="B3426">
            <v>41775</v>
          </cell>
          <cell r="C3426">
            <v>5</v>
          </cell>
        </row>
        <row r="3427">
          <cell r="B3427">
            <v>41776</v>
          </cell>
          <cell r="C3427">
            <v>5</v>
          </cell>
        </row>
        <row r="3428">
          <cell r="B3428">
            <v>41777</v>
          </cell>
          <cell r="C3428">
            <v>5</v>
          </cell>
        </row>
        <row r="3429">
          <cell r="B3429">
            <v>41778</v>
          </cell>
          <cell r="C3429">
            <v>5</v>
          </cell>
        </row>
        <row r="3430">
          <cell r="B3430">
            <v>41779</v>
          </cell>
          <cell r="C3430">
            <v>5</v>
          </cell>
        </row>
        <row r="3431">
          <cell r="B3431">
            <v>41780</v>
          </cell>
          <cell r="C3431">
            <v>5</v>
          </cell>
        </row>
        <row r="3432">
          <cell r="B3432">
            <v>41781</v>
          </cell>
          <cell r="C3432">
            <v>5</v>
          </cell>
        </row>
        <row r="3433">
          <cell r="B3433">
            <v>41782</v>
          </cell>
          <cell r="C3433">
            <v>5</v>
          </cell>
        </row>
        <row r="3434">
          <cell r="B3434">
            <v>41783</v>
          </cell>
          <cell r="C3434">
            <v>5</v>
          </cell>
        </row>
        <row r="3435">
          <cell r="B3435">
            <v>41784</v>
          </cell>
          <cell r="C3435">
            <v>5</v>
          </cell>
        </row>
        <row r="3436">
          <cell r="B3436">
            <v>41785</v>
          </cell>
          <cell r="C3436">
            <v>5</v>
          </cell>
        </row>
        <row r="3437">
          <cell r="B3437">
            <v>41786</v>
          </cell>
          <cell r="C3437">
            <v>5</v>
          </cell>
        </row>
        <row r="3438">
          <cell r="B3438">
            <v>41787</v>
          </cell>
          <cell r="C3438">
            <v>5</v>
          </cell>
        </row>
        <row r="3439">
          <cell r="B3439">
            <v>41788</v>
          </cell>
          <cell r="C3439">
            <v>5</v>
          </cell>
        </row>
        <row r="3440">
          <cell r="B3440">
            <v>41789</v>
          </cell>
          <cell r="C3440">
            <v>5</v>
          </cell>
        </row>
        <row r="3441">
          <cell r="B3441">
            <v>41790</v>
          </cell>
          <cell r="C3441">
            <v>5</v>
          </cell>
        </row>
        <row r="3442">
          <cell r="B3442">
            <v>41791</v>
          </cell>
          <cell r="C3442">
            <v>6</v>
          </cell>
        </row>
        <row r="3443">
          <cell r="B3443">
            <v>41792</v>
          </cell>
          <cell r="C3443">
            <v>6</v>
          </cell>
        </row>
        <row r="3444">
          <cell r="B3444">
            <v>41793</v>
          </cell>
          <cell r="C3444">
            <v>6</v>
          </cell>
        </row>
        <row r="3445">
          <cell r="B3445">
            <v>41794</v>
          </cell>
          <cell r="C3445">
            <v>6</v>
          </cell>
        </row>
        <row r="3446">
          <cell r="B3446">
            <v>41795</v>
          </cell>
          <cell r="C3446">
            <v>6</v>
          </cell>
        </row>
        <row r="3447">
          <cell r="B3447">
            <v>41796</v>
          </cell>
          <cell r="C3447">
            <v>6</v>
          </cell>
        </row>
        <row r="3448">
          <cell r="B3448">
            <v>41797</v>
          </cell>
          <cell r="C3448">
            <v>6</v>
          </cell>
        </row>
        <row r="3449">
          <cell r="B3449">
            <v>41798</v>
          </cell>
          <cell r="C3449">
            <v>6</v>
          </cell>
        </row>
        <row r="3450">
          <cell r="B3450">
            <v>41799</v>
          </cell>
          <cell r="C3450">
            <v>6</v>
          </cell>
        </row>
        <row r="3451">
          <cell r="B3451">
            <v>41800</v>
          </cell>
          <cell r="C3451">
            <v>6</v>
          </cell>
        </row>
        <row r="3452">
          <cell r="B3452">
            <v>41801</v>
          </cell>
          <cell r="C3452">
            <v>6</v>
          </cell>
        </row>
        <row r="3453">
          <cell r="B3453">
            <v>41802</v>
          </cell>
          <cell r="C3453">
            <v>6</v>
          </cell>
        </row>
        <row r="3454">
          <cell r="B3454">
            <v>41803</v>
          </cell>
          <cell r="C3454">
            <v>6</v>
          </cell>
        </row>
        <row r="3455">
          <cell r="B3455">
            <v>41804</v>
          </cell>
          <cell r="C3455">
            <v>6</v>
          </cell>
        </row>
        <row r="3456">
          <cell r="B3456">
            <v>41805</v>
          </cell>
          <cell r="C3456">
            <v>6</v>
          </cell>
        </row>
        <row r="3457">
          <cell r="B3457">
            <v>41806</v>
          </cell>
          <cell r="C3457">
            <v>6</v>
          </cell>
        </row>
        <row r="3458">
          <cell r="B3458">
            <v>41807</v>
          </cell>
          <cell r="C3458">
            <v>6</v>
          </cell>
        </row>
        <row r="3459">
          <cell r="B3459">
            <v>41808</v>
          </cell>
          <cell r="C3459">
            <v>6</v>
          </cell>
        </row>
        <row r="3460">
          <cell r="B3460">
            <v>41809</v>
          </cell>
          <cell r="C3460">
            <v>6</v>
          </cell>
        </row>
        <row r="3461">
          <cell r="B3461">
            <v>41810</v>
          </cell>
          <cell r="C3461">
            <v>6</v>
          </cell>
        </row>
        <row r="3462">
          <cell r="B3462">
            <v>41811</v>
          </cell>
          <cell r="C3462">
            <v>6</v>
          </cell>
        </row>
        <row r="3463">
          <cell r="B3463">
            <v>41812</v>
          </cell>
          <cell r="C3463">
            <v>6</v>
          </cell>
        </row>
        <row r="3464">
          <cell r="B3464">
            <v>41813</v>
          </cell>
          <cell r="C3464">
            <v>6</v>
          </cell>
        </row>
        <row r="3465">
          <cell r="B3465">
            <v>41814</v>
          </cell>
          <cell r="C3465">
            <v>6</v>
          </cell>
        </row>
        <row r="3466">
          <cell r="B3466">
            <v>41815</v>
          </cell>
          <cell r="C3466">
            <v>6</v>
          </cell>
        </row>
        <row r="3467">
          <cell r="B3467">
            <v>41816</v>
          </cell>
          <cell r="C3467">
            <v>6</v>
          </cell>
        </row>
        <row r="3468">
          <cell r="B3468">
            <v>41817</v>
          </cell>
          <cell r="C3468">
            <v>6</v>
          </cell>
        </row>
        <row r="3469">
          <cell r="B3469">
            <v>41818</v>
          </cell>
          <cell r="C3469">
            <v>6</v>
          </cell>
        </row>
        <row r="3470">
          <cell r="B3470">
            <v>41819</v>
          </cell>
          <cell r="C3470">
            <v>6</v>
          </cell>
        </row>
        <row r="3471">
          <cell r="B3471">
            <v>41820</v>
          </cell>
          <cell r="C3471">
            <v>6</v>
          </cell>
        </row>
        <row r="3472">
          <cell r="B3472">
            <v>41821</v>
          </cell>
          <cell r="C3472">
            <v>7</v>
          </cell>
        </row>
        <row r="3473">
          <cell r="B3473">
            <v>41822</v>
          </cell>
          <cell r="C3473">
            <v>7</v>
          </cell>
        </row>
        <row r="3474">
          <cell r="B3474">
            <v>41823</v>
          </cell>
          <cell r="C3474">
            <v>7</v>
          </cell>
        </row>
        <row r="3475">
          <cell r="B3475">
            <v>41824</v>
          </cell>
          <cell r="C3475">
            <v>7</v>
          </cell>
        </row>
        <row r="3476">
          <cell r="B3476">
            <v>41825</v>
          </cell>
          <cell r="C3476">
            <v>7</v>
          </cell>
        </row>
        <row r="3477">
          <cell r="B3477">
            <v>41826</v>
          </cell>
          <cell r="C3477">
            <v>7</v>
          </cell>
        </row>
        <row r="3478">
          <cell r="B3478">
            <v>41827</v>
          </cell>
          <cell r="C3478">
            <v>7</v>
          </cell>
        </row>
        <row r="3479">
          <cell r="B3479">
            <v>41828</v>
          </cell>
          <cell r="C3479">
            <v>7</v>
          </cell>
        </row>
        <row r="3480">
          <cell r="B3480">
            <v>41829</v>
          </cell>
          <cell r="C3480">
            <v>7</v>
          </cell>
        </row>
        <row r="3481">
          <cell r="B3481">
            <v>41830</v>
          </cell>
          <cell r="C3481">
            <v>7</v>
          </cell>
        </row>
        <row r="3482">
          <cell r="B3482">
            <v>41831</v>
          </cell>
          <cell r="C3482">
            <v>7</v>
          </cell>
        </row>
        <row r="3483">
          <cell r="B3483">
            <v>41832</v>
          </cell>
          <cell r="C3483">
            <v>7</v>
          </cell>
        </row>
        <row r="3484">
          <cell r="B3484">
            <v>41833</v>
          </cell>
          <cell r="C3484">
            <v>7</v>
          </cell>
        </row>
        <row r="3485">
          <cell r="B3485">
            <v>41834</v>
          </cell>
          <cell r="C3485">
            <v>7</v>
          </cell>
        </row>
        <row r="3486">
          <cell r="B3486">
            <v>41835</v>
          </cell>
          <cell r="C3486">
            <v>7</v>
          </cell>
        </row>
        <row r="3487">
          <cell r="B3487">
            <v>41836</v>
          </cell>
          <cell r="C3487">
            <v>7</v>
          </cell>
        </row>
        <row r="3488">
          <cell r="B3488">
            <v>41837</v>
          </cell>
          <cell r="C3488">
            <v>7</v>
          </cell>
        </row>
        <row r="3489">
          <cell r="B3489">
            <v>41838</v>
          </cell>
          <cell r="C3489">
            <v>7</v>
          </cell>
        </row>
        <row r="3490">
          <cell r="B3490">
            <v>41839</v>
          </cell>
          <cell r="C3490">
            <v>7</v>
          </cell>
        </row>
        <row r="3491">
          <cell r="B3491">
            <v>41840</v>
          </cell>
          <cell r="C3491">
            <v>7</v>
          </cell>
        </row>
        <row r="3492">
          <cell r="B3492">
            <v>41841</v>
          </cell>
          <cell r="C3492">
            <v>7</v>
          </cell>
        </row>
        <row r="3493">
          <cell r="B3493">
            <v>41842</v>
          </cell>
          <cell r="C3493">
            <v>7</v>
          </cell>
        </row>
        <row r="3494">
          <cell r="B3494">
            <v>41843</v>
          </cell>
          <cell r="C3494">
            <v>7</v>
          </cell>
        </row>
        <row r="3495">
          <cell r="B3495">
            <v>41844</v>
          </cell>
          <cell r="C3495">
            <v>7</v>
          </cell>
        </row>
        <row r="3496">
          <cell r="B3496">
            <v>41845</v>
          </cell>
          <cell r="C3496">
            <v>7</v>
          </cell>
        </row>
        <row r="3497">
          <cell r="B3497">
            <v>41846</v>
          </cell>
          <cell r="C3497">
            <v>7</v>
          </cell>
        </row>
        <row r="3498">
          <cell r="B3498">
            <v>41847</v>
          </cell>
          <cell r="C3498">
            <v>7</v>
          </cell>
        </row>
        <row r="3499">
          <cell r="B3499">
            <v>41848</v>
          </cell>
          <cell r="C3499">
            <v>7</v>
          </cell>
        </row>
        <row r="3500">
          <cell r="B3500">
            <v>41849</v>
          </cell>
          <cell r="C3500">
            <v>7</v>
          </cell>
        </row>
        <row r="3501">
          <cell r="B3501">
            <v>41850</v>
          </cell>
          <cell r="C3501">
            <v>7</v>
          </cell>
        </row>
        <row r="3502">
          <cell r="B3502">
            <v>41851</v>
          </cell>
          <cell r="C3502">
            <v>7</v>
          </cell>
        </row>
        <row r="3503">
          <cell r="B3503">
            <v>41852</v>
          </cell>
          <cell r="C3503">
            <v>8</v>
          </cell>
        </row>
        <row r="3504">
          <cell r="B3504">
            <v>41853</v>
          </cell>
          <cell r="C3504">
            <v>8</v>
          </cell>
        </row>
        <row r="3505">
          <cell r="B3505">
            <v>41854</v>
          </cell>
          <cell r="C3505">
            <v>8</v>
          </cell>
        </row>
        <row r="3506">
          <cell r="B3506">
            <v>41855</v>
          </cell>
          <cell r="C3506">
            <v>8</v>
          </cell>
        </row>
        <row r="3507">
          <cell r="B3507">
            <v>41856</v>
          </cell>
          <cell r="C3507">
            <v>8</v>
          </cell>
        </row>
        <row r="3508">
          <cell r="B3508">
            <v>41857</v>
          </cell>
          <cell r="C3508">
            <v>8</v>
          </cell>
        </row>
        <row r="3509">
          <cell r="B3509">
            <v>41858</v>
          </cell>
          <cell r="C3509">
            <v>8</v>
          </cell>
        </row>
        <row r="3510">
          <cell r="B3510">
            <v>41859</v>
          </cell>
          <cell r="C3510">
            <v>8</v>
          </cell>
        </row>
        <row r="3511">
          <cell r="B3511">
            <v>41860</v>
          </cell>
          <cell r="C3511">
            <v>8</v>
          </cell>
        </row>
        <row r="3512">
          <cell r="B3512">
            <v>41861</v>
          </cell>
          <cell r="C3512">
            <v>8</v>
          </cell>
        </row>
        <row r="3513">
          <cell r="B3513">
            <v>41862</v>
          </cell>
          <cell r="C3513">
            <v>8</v>
          </cell>
        </row>
        <row r="3514">
          <cell r="B3514">
            <v>41863</v>
          </cell>
          <cell r="C3514">
            <v>8</v>
          </cell>
        </row>
        <row r="3515">
          <cell r="B3515">
            <v>41864</v>
          </cell>
          <cell r="C3515">
            <v>8</v>
          </cell>
        </row>
        <row r="3516">
          <cell r="B3516">
            <v>41865</v>
          </cell>
          <cell r="C3516">
            <v>8</v>
          </cell>
        </row>
        <row r="3517">
          <cell r="B3517">
            <v>41866</v>
          </cell>
          <cell r="C3517">
            <v>8</v>
          </cell>
        </row>
        <row r="3518">
          <cell r="B3518">
            <v>41867</v>
          </cell>
          <cell r="C3518">
            <v>8</v>
          </cell>
        </row>
        <row r="3519">
          <cell r="B3519">
            <v>41868</v>
          </cell>
          <cell r="C3519">
            <v>8</v>
          </cell>
        </row>
        <row r="3520">
          <cell r="B3520">
            <v>41869</v>
          </cell>
          <cell r="C3520">
            <v>8</v>
          </cell>
        </row>
        <row r="3521">
          <cell r="B3521">
            <v>41870</v>
          </cell>
          <cell r="C3521">
            <v>8</v>
          </cell>
        </row>
        <row r="3522">
          <cell r="B3522">
            <v>41871</v>
          </cell>
          <cell r="C3522">
            <v>8</v>
          </cell>
        </row>
        <row r="3523">
          <cell r="B3523">
            <v>41872</v>
          </cell>
          <cell r="C3523">
            <v>8</v>
          </cell>
        </row>
        <row r="3524">
          <cell r="B3524">
            <v>41873</v>
          </cell>
          <cell r="C3524">
            <v>8</v>
          </cell>
        </row>
        <row r="3525">
          <cell r="B3525">
            <v>41874</v>
          </cell>
          <cell r="C3525">
            <v>8</v>
          </cell>
        </row>
        <row r="3526">
          <cell r="B3526">
            <v>41875</v>
          </cell>
          <cell r="C3526">
            <v>8</v>
          </cell>
        </row>
        <row r="3527">
          <cell r="B3527">
            <v>41876</v>
          </cell>
          <cell r="C3527">
            <v>8</v>
          </cell>
        </row>
        <row r="3528">
          <cell r="B3528">
            <v>41877</v>
          </cell>
          <cell r="C3528">
            <v>8</v>
          </cell>
        </row>
        <row r="3529">
          <cell r="B3529">
            <v>41878</v>
          </cell>
          <cell r="C3529">
            <v>8</v>
          </cell>
        </row>
        <row r="3530">
          <cell r="B3530">
            <v>41879</v>
          </cell>
          <cell r="C3530">
            <v>8</v>
          </cell>
        </row>
        <row r="3531">
          <cell r="B3531">
            <v>41880</v>
          </cell>
          <cell r="C3531">
            <v>8</v>
          </cell>
        </row>
        <row r="3532">
          <cell r="B3532">
            <v>41881</v>
          </cell>
          <cell r="C3532">
            <v>8</v>
          </cell>
        </row>
        <row r="3533">
          <cell r="B3533">
            <v>41882</v>
          </cell>
          <cell r="C3533">
            <v>8</v>
          </cell>
        </row>
        <row r="3534">
          <cell r="B3534">
            <v>41883</v>
          </cell>
          <cell r="C3534">
            <v>9</v>
          </cell>
        </row>
        <row r="3535">
          <cell r="B3535">
            <v>41884</v>
          </cell>
          <cell r="C3535">
            <v>9</v>
          </cell>
        </row>
        <row r="3536">
          <cell r="B3536">
            <v>41885</v>
          </cell>
          <cell r="C3536">
            <v>9</v>
          </cell>
        </row>
        <row r="3537">
          <cell r="B3537">
            <v>41886</v>
          </cell>
          <cell r="C3537">
            <v>9</v>
          </cell>
        </row>
        <row r="3538">
          <cell r="B3538">
            <v>41887</v>
          </cell>
          <cell r="C3538">
            <v>9</v>
          </cell>
        </row>
        <row r="3539">
          <cell r="B3539">
            <v>41888</v>
          </cell>
          <cell r="C3539">
            <v>9</v>
          </cell>
        </row>
        <row r="3540">
          <cell r="B3540">
            <v>41889</v>
          </cell>
          <cell r="C3540">
            <v>9</v>
          </cell>
        </row>
        <row r="3541">
          <cell r="B3541">
            <v>41890</v>
          </cell>
          <cell r="C3541">
            <v>9</v>
          </cell>
        </row>
        <row r="3542">
          <cell r="B3542">
            <v>41891</v>
          </cell>
          <cell r="C3542">
            <v>9</v>
          </cell>
        </row>
        <row r="3543">
          <cell r="B3543">
            <v>41892</v>
          </cell>
          <cell r="C3543">
            <v>9</v>
          </cell>
        </row>
        <row r="3544">
          <cell r="B3544">
            <v>41893</v>
          </cell>
          <cell r="C3544">
            <v>9</v>
          </cell>
        </row>
        <row r="3545">
          <cell r="B3545">
            <v>41894</v>
          </cell>
          <cell r="C3545">
            <v>9</v>
          </cell>
        </row>
        <row r="3546">
          <cell r="B3546">
            <v>41895</v>
          </cell>
          <cell r="C3546">
            <v>9</v>
          </cell>
        </row>
        <row r="3547">
          <cell r="B3547">
            <v>41896</v>
          </cell>
          <cell r="C3547">
            <v>9</v>
          </cell>
        </row>
        <row r="3548">
          <cell r="B3548">
            <v>41897</v>
          </cell>
          <cell r="C3548">
            <v>9</v>
          </cell>
        </row>
        <row r="3549">
          <cell r="B3549">
            <v>41898</v>
          </cell>
          <cell r="C3549">
            <v>9</v>
          </cell>
        </row>
        <row r="3550">
          <cell r="B3550">
            <v>41899</v>
          </cell>
          <cell r="C3550">
            <v>9</v>
          </cell>
        </row>
        <row r="3551">
          <cell r="B3551">
            <v>41900</v>
          </cell>
          <cell r="C3551">
            <v>9</v>
          </cell>
        </row>
        <row r="3552">
          <cell r="B3552">
            <v>41901</v>
          </cell>
          <cell r="C3552">
            <v>9</v>
          </cell>
        </row>
        <row r="3553">
          <cell r="B3553">
            <v>41902</v>
          </cell>
          <cell r="C3553">
            <v>9</v>
          </cell>
        </row>
        <row r="3554">
          <cell r="B3554">
            <v>41903</v>
          </cell>
          <cell r="C3554">
            <v>9</v>
          </cell>
        </row>
        <row r="3555">
          <cell r="B3555">
            <v>41904</v>
          </cell>
          <cell r="C3555">
            <v>9</v>
          </cell>
        </row>
        <row r="3556">
          <cell r="B3556">
            <v>41905</v>
          </cell>
          <cell r="C3556">
            <v>9</v>
          </cell>
        </row>
        <row r="3557">
          <cell r="B3557">
            <v>41906</v>
          </cell>
          <cell r="C3557">
            <v>9</v>
          </cell>
        </row>
        <row r="3558">
          <cell r="B3558">
            <v>41907</v>
          </cell>
          <cell r="C3558">
            <v>9</v>
          </cell>
        </row>
        <row r="3559">
          <cell r="B3559">
            <v>41908</v>
          </cell>
          <cell r="C3559">
            <v>9</v>
          </cell>
        </row>
        <row r="3560">
          <cell r="B3560">
            <v>41909</v>
          </cell>
          <cell r="C3560">
            <v>9</v>
          </cell>
        </row>
        <row r="3561">
          <cell r="B3561">
            <v>41910</v>
          </cell>
          <cell r="C3561">
            <v>9</v>
          </cell>
        </row>
        <row r="3562">
          <cell r="B3562">
            <v>41911</v>
          </cell>
          <cell r="C3562">
            <v>9</v>
          </cell>
        </row>
        <row r="3563">
          <cell r="B3563">
            <v>41912</v>
          </cell>
          <cell r="C3563">
            <v>9</v>
          </cell>
        </row>
        <row r="3564">
          <cell r="B3564">
            <v>41913</v>
          </cell>
          <cell r="C3564">
            <v>10</v>
          </cell>
        </row>
        <row r="3565">
          <cell r="B3565">
            <v>41914</v>
          </cell>
          <cell r="C3565">
            <v>10</v>
          </cell>
        </row>
        <row r="3566">
          <cell r="B3566">
            <v>41915</v>
          </cell>
          <cell r="C3566">
            <v>10</v>
          </cell>
        </row>
        <row r="3567">
          <cell r="B3567">
            <v>41916</v>
          </cell>
          <cell r="C3567">
            <v>10</v>
          </cell>
        </row>
        <row r="3568">
          <cell r="B3568">
            <v>41917</v>
          </cell>
          <cell r="C3568">
            <v>10</v>
          </cell>
        </row>
        <row r="3569">
          <cell r="B3569">
            <v>41918</v>
          </cell>
          <cell r="C3569">
            <v>10</v>
          </cell>
        </row>
        <row r="3570">
          <cell r="B3570">
            <v>41919</v>
          </cell>
          <cell r="C3570">
            <v>10</v>
          </cell>
        </row>
        <row r="3571">
          <cell r="B3571">
            <v>41920</v>
          </cell>
          <cell r="C3571">
            <v>10</v>
          </cell>
        </row>
        <row r="3572">
          <cell r="B3572">
            <v>41921</v>
          </cell>
          <cell r="C3572">
            <v>10</v>
          </cell>
        </row>
        <row r="3573">
          <cell r="B3573">
            <v>41922</v>
          </cell>
          <cell r="C3573">
            <v>10</v>
          </cell>
        </row>
        <row r="3574">
          <cell r="B3574">
            <v>41923</v>
          </cell>
          <cell r="C3574">
            <v>10</v>
          </cell>
        </row>
        <row r="3575">
          <cell r="B3575">
            <v>41924</v>
          </cell>
          <cell r="C3575">
            <v>10</v>
          </cell>
        </row>
        <row r="3576">
          <cell r="B3576">
            <v>41925</v>
          </cell>
          <cell r="C3576">
            <v>10</v>
          </cell>
        </row>
        <row r="3577">
          <cell r="B3577">
            <v>41926</v>
          </cell>
          <cell r="C3577">
            <v>10</v>
          </cell>
        </row>
        <row r="3578">
          <cell r="B3578">
            <v>41927</v>
          </cell>
          <cell r="C3578">
            <v>10</v>
          </cell>
        </row>
        <row r="3579">
          <cell r="B3579">
            <v>41928</v>
          </cell>
          <cell r="C3579">
            <v>10</v>
          </cell>
        </row>
        <row r="3580">
          <cell r="B3580">
            <v>41929</v>
          </cell>
          <cell r="C3580">
            <v>10</v>
          </cell>
        </row>
        <row r="3581">
          <cell r="B3581">
            <v>41930</v>
          </cell>
          <cell r="C3581">
            <v>10</v>
          </cell>
        </row>
        <row r="3582">
          <cell r="B3582">
            <v>41931</v>
          </cell>
          <cell r="C3582">
            <v>10</v>
          </cell>
        </row>
        <row r="3583">
          <cell r="B3583">
            <v>41932</v>
          </cell>
          <cell r="C3583">
            <v>10</v>
          </cell>
        </row>
        <row r="3584">
          <cell r="B3584">
            <v>41933</v>
          </cell>
          <cell r="C3584">
            <v>10</v>
          </cell>
        </row>
        <row r="3585">
          <cell r="B3585">
            <v>41934</v>
          </cell>
          <cell r="C3585">
            <v>10</v>
          </cell>
        </row>
        <row r="3586">
          <cell r="B3586">
            <v>41935</v>
          </cell>
          <cell r="C3586">
            <v>10</v>
          </cell>
        </row>
        <row r="3587">
          <cell r="B3587">
            <v>41936</v>
          </cell>
          <cell r="C3587">
            <v>10</v>
          </cell>
        </row>
        <row r="3588">
          <cell r="B3588">
            <v>41937</v>
          </cell>
          <cell r="C3588">
            <v>10</v>
          </cell>
        </row>
        <row r="3589">
          <cell r="B3589">
            <v>41938</v>
          </cell>
          <cell r="C3589">
            <v>10</v>
          </cell>
        </row>
        <row r="3590">
          <cell r="B3590">
            <v>41939</v>
          </cell>
          <cell r="C3590">
            <v>10</v>
          </cell>
        </row>
        <row r="3591">
          <cell r="B3591">
            <v>41940</v>
          </cell>
          <cell r="C3591">
            <v>10</v>
          </cell>
        </row>
        <row r="3592">
          <cell r="B3592">
            <v>41941</v>
          </cell>
          <cell r="C3592">
            <v>10</v>
          </cell>
        </row>
        <row r="3593">
          <cell r="B3593">
            <v>41942</v>
          </cell>
          <cell r="C3593">
            <v>10</v>
          </cell>
        </row>
        <row r="3594">
          <cell r="B3594">
            <v>41943</v>
          </cell>
          <cell r="C3594">
            <v>10</v>
          </cell>
        </row>
        <row r="3595">
          <cell r="B3595">
            <v>41944</v>
          </cell>
          <cell r="C3595">
            <v>11</v>
          </cell>
        </row>
        <row r="3596">
          <cell r="B3596">
            <v>41945</v>
          </cell>
          <cell r="C3596">
            <v>11</v>
          </cell>
        </row>
        <row r="3597">
          <cell r="B3597">
            <v>41946</v>
          </cell>
          <cell r="C3597">
            <v>11</v>
          </cell>
        </row>
        <row r="3598">
          <cell r="B3598">
            <v>41947</v>
          </cell>
          <cell r="C3598">
            <v>11</v>
          </cell>
        </row>
        <row r="3599">
          <cell r="B3599">
            <v>41948</v>
          </cell>
          <cell r="C3599">
            <v>11</v>
          </cell>
        </row>
        <row r="3600">
          <cell r="B3600">
            <v>41949</v>
          </cell>
          <cell r="C3600">
            <v>11</v>
          </cell>
        </row>
        <row r="3601">
          <cell r="B3601">
            <v>41950</v>
          </cell>
          <cell r="C3601">
            <v>11</v>
          </cell>
        </row>
        <row r="3602">
          <cell r="B3602">
            <v>41951</v>
          </cell>
          <cell r="C3602">
            <v>11</v>
          </cell>
        </row>
        <row r="3603">
          <cell r="B3603">
            <v>41952</v>
          </cell>
          <cell r="C3603">
            <v>11</v>
          </cell>
        </row>
        <row r="3604">
          <cell r="B3604">
            <v>41953</v>
          </cell>
          <cell r="C3604">
            <v>11</v>
          </cell>
        </row>
        <row r="3605">
          <cell r="B3605">
            <v>41954</v>
          </cell>
          <cell r="C3605">
            <v>11</v>
          </cell>
        </row>
        <row r="3606">
          <cell r="B3606">
            <v>41955</v>
          </cell>
          <cell r="C3606">
            <v>11</v>
          </cell>
        </row>
        <row r="3607">
          <cell r="B3607">
            <v>41956</v>
          </cell>
          <cell r="C3607">
            <v>11</v>
          </cell>
        </row>
        <row r="3608">
          <cell r="B3608">
            <v>41957</v>
          </cell>
          <cell r="C3608">
            <v>11</v>
          </cell>
        </row>
        <row r="3609">
          <cell r="B3609">
            <v>41958</v>
          </cell>
          <cell r="C3609">
            <v>11</v>
          </cell>
        </row>
        <row r="3610">
          <cell r="B3610">
            <v>41959</v>
          </cell>
          <cell r="C3610">
            <v>11</v>
          </cell>
        </row>
        <row r="3611">
          <cell r="B3611">
            <v>41960</v>
          </cell>
          <cell r="C3611">
            <v>11</v>
          </cell>
        </row>
        <row r="3612">
          <cell r="B3612">
            <v>41961</v>
          </cell>
          <cell r="C3612">
            <v>11</v>
          </cell>
        </row>
        <row r="3613">
          <cell r="B3613">
            <v>41962</v>
          </cell>
          <cell r="C3613">
            <v>11</v>
          </cell>
        </row>
        <row r="3614">
          <cell r="B3614">
            <v>41963</v>
          </cell>
          <cell r="C3614">
            <v>11</v>
          </cell>
        </row>
        <row r="3615">
          <cell r="B3615">
            <v>41964</v>
          </cell>
          <cell r="C3615">
            <v>11</v>
          </cell>
        </row>
        <row r="3616">
          <cell r="B3616">
            <v>41965</v>
          </cell>
          <cell r="C3616">
            <v>11</v>
          </cell>
        </row>
        <row r="3617">
          <cell r="B3617">
            <v>41966</v>
          </cell>
          <cell r="C3617">
            <v>11</v>
          </cell>
        </row>
        <row r="3618">
          <cell r="B3618">
            <v>41967</v>
          </cell>
          <cell r="C3618">
            <v>11</v>
          </cell>
        </row>
        <row r="3619">
          <cell r="B3619">
            <v>41968</v>
          </cell>
          <cell r="C3619">
            <v>11</v>
          </cell>
        </row>
        <row r="3620">
          <cell r="B3620">
            <v>41969</v>
          </cell>
          <cell r="C3620">
            <v>11</v>
          </cell>
        </row>
        <row r="3621">
          <cell r="B3621">
            <v>41970</v>
          </cell>
          <cell r="C3621">
            <v>11</v>
          </cell>
        </row>
        <row r="3622">
          <cell r="B3622">
            <v>41971</v>
          </cell>
          <cell r="C3622">
            <v>11</v>
          </cell>
        </row>
        <row r="3623">
          <cell r="B3623">
            <v>41972</v>
          </cell>
          <cell r="C3623">
            <v>11</v>
          </cell>
        </row>
        <row r="3624">
          <cell r="B3624">
            <v>41973</v>
          </cell>
          <cell r="C3624">
            <v>11</v>
          </cell>
        </row>
        <row r="3625">
          <cell r="B3625">
            <v>41974</v>
          </cell>
          <cell r="C3625">
            <v>12</v>
          </cell>
        </row>
        <row r="3626">
          <cell r="B3626">
            <v>41975</v>
          </cell>
          <cell r="C3626">
            <v>12</v>
          </cell>
        </row>
        <row r="3627">
          <cell r="B3627">
            <v>41976</v>
          </cell>
          <cell r="C3627">
            <v>12</v>
          </cell>
        </row>
        <row r="3628">
          <cell r="B3628">
            <v>41977</v>
          </cell>
          <cell r="C3628">
            <v>12</v>
          </cell>
        </row>
        <row r="3629">
          <cell r="B3629">
            <v>41978</v>
          </cell>
          <cell r="C3629">
            <v>12</v>
          </cell>
        </row>
        <row r="3630">
          <cell r="B3630">
            <v>41979</v>
          </cell>
          <cell r="C3630">
            <v>12</v>
          </cell>
        </row>
        <row r="3631">
          <cell r="B3631">
            <v>41980</v>
          </cell>
          <cell r="C3631">
            <v>12</v>
          </cell>
        </row>
        <row r="3632">
          <cell r="B3632">
            <v>41981</v>
          </cell>
          <cell r="C3632">
            <v>12</v>
          </cell>
        </row>
        <row r="3633">
          <cell r="B3633">
            <v>41982</v>
          </cell>
          <cell r="C3633">
            <v>12</v>
          </cell>
        </row>
        <row r="3634">
          <cell r="B3634">
            <v>41983</v>
          </cell>
          <cell r="C3634">
            <v>12</v>
          </cell>
        </row>
        <row r="3635">
          <cell r="B3635">
            <v>41984</v>
          </cell>
          <cell r="C3635">
            <v>12</v>
          </cell>
        </row>
        <row r="3636">
          <cell r="B3636">
            <v>41985</v>
          </cell>
          <cell r="C3636">
            <v>12</v>
          </cell>
        </row>
        <row r="3637">
          <cell r="B3637">
            <v>41986</v>
          </cell>
          <cell r="C3637">
            <v>12</v>
          </cell>
        </row>
        <row r="3638">
          <cell r="B3638">
            <v>41987</v>
          </cell>
          <cell r="C3638">
            <v>12</v>
          </cell>
        </row>
        <row r="3639">
          <cell r="B3639">
            <v>41988</v>
          </cell>
          <cell r="C3639">
            <v>12</v>
          </cell>
        </row>
        <row r="3640">
          <cell r="B3640">
            <v>41989</v>
          </cell>
          <cell r="C3640">
            <v>12</v>
          </cell>
        </row>
        <row r="3641">
          <cell r="B3641">
            <v>41990</v>
          </cell>
          <cell r="C3641">
            <v>12</v>
          </cell>
        </row>
        <row r="3642">
          <cell r="B3642">
            <v>41991</v>
          </cell>
          <cell r="C3642">
            <v>12</v>
          </cell>
        </row>
        <row r="3643">
          <cell r="B3643">
            <v>41992</v>
          </cell>
          <cell r="C3643">
            <v>12</v>
          </cell>
        </row>
        <row r="3644">
          <cell r="B3644">
            <v>41993</v>
          </cell>
          <cell r="C3644">
            <v>12</v>
          </cell>
        </row>
        <row r="3645">
          <cell r="B3645">
            <v>41994</v>
          </cell>
          <cell r="C3645">
            <v>12</v>
          </cell>
        </row>
        <row r="3646">
          <cell r="B3646">
            <v>41995</v>
          </cell>
          <cell r="C3646">
            <v>12</v>
          </cell>
        </row>
        <row r="3647">
          <cell r="B3647">
            <v>41996</v>
          </cell>
          <cell r="C3647">
            <v>12</v>
          </cell>
        </row>
        <row r="3648">
          <cell r="B3648">
            <v>41997</v>
          </cell>
          <cell r="C3648">
            <v>12</v>
          </cell>
        </row>
        <row r="3649">
          <cell r="B3649">
            <v>41998</v>
          </cell>
          <cell r="C3649">
            <v>12</v>
          </cell>
        </row>
        <row r="3650">
          <cell r="B3650">
            <v>41999</v>
          </cell>
          <cell r="C3650">
            <v>12</v>
          </cell>
        </row>
        <row r="3651">
          <cell r="B3651">
            <v>42000</v>
          </cell>
          <cell r="C3651">
            <v>12</v>
          </cell>
        </row>
        <row r="3652">
          <cell r="B3652">
            <v>42001</v>
          </cell>
          <cell r="C3652">
            <v>12</v>
          </cell>
        </row>
        <row r="3653">
          <cell r="B3653">
            <v>42002</v>
          </cell>
          <cell r="C3653">
            <v>12</v>
          </cell>
        </row>
        <row r="3654">
          <cell r="B3654">
            <v>42003</v>
          </cell>
          <cell r="C3654">
            <v>12</v>
          </cell>
        </row>
        <row r="3655">
          <cell r="B3655">
            <v>42004</v>
          </cell>
          <cell r="C3655">
            <v>12</v>
          </cell>
        </row>
      </sheetData>
      <sheetData sheetId="15" refreshError="1">
        <row r="3">
          <cell r="C3" t="str">
            <v>COD</v>
          </cell>
          <cell r="D3" t="str">
            <v>DIS</v>
          </cell>
          <cell r="E3" t="str">
            <v>DISCIPLINA</v>
          </cell>
        </row>
        <row r="4">
          <cell r="C4" t="str">
            <v>CC</v>
          </cell>
          <cell r="D4" t="str">
            <v>CIV</v>
          </cell>
          <cell r="E4" t="str">
            <v>CIVIL</v>
          </cell>
        </row>
        <row r="5">
          <cell r="C5" t="str">
            <v>CG</v>
          </cell>
          <cell r="D5" t="str">
            <v>CIV</v>
          </cell>
          <cell r="E5" t="str">
            <v>CIVIL</v>
          </cell>
        </row>
        <row r="6">
          <cell r="C6" t="str">
            <v>CH</v>
          </cell>
          <cell r="D6" t="str">
            <v>CIV</v>
          </cell>
          <cell r="E6" t="str">
            <v>CIVIL</v>
          </cell>
        </row>
        <row r="7">
          <cell r="C7" t="str">
            <v>CM</v>
          </cell>
          <cell r="D7" t="str">
            <v>CIV</v>
          </cell>
          <cell r="E7" t="str">
            <v>CIVIL</v>
          </cell>
        </row>
        <row r="8">
          <cell r="C8" t="str">
            <v>CT</v>
          </cell>
          <cell r="D8" t="str">
            <v>CIV</v>
          </cell>
          <cell r="E8" t="str">
            <v>CIVIL</v>
          </cell>
        </row>
        <row r="9">
          <cell r="C9" t="str">
            <v>CV</v>
          </cell>
          <cell r="D9" t="str">
            <v>CIV</v>
          </cell>
          <cell r="E9" t="str">
            <v>CIVIL</v>
          </cell>
        </row>
        <row r="10">
          <cell r="C10" t="str">
            <v>CX</v>
          </cell>
          <cell r="D10" t="str">
            <v>CIV</v>
          </cell>
          <cell r="E10" t="str">
            <v>CIVIL</v>
          </cell>
        </row>
        <row r="11">
          <cell r="C11" t="str">
            <v>CE</v>
          </cell>
          <cell r="D11" t="str">
            <v>MET</v>
          </cell>
          <cell r="E11" t="str">
            <v>ESTRUTURA METÁLICA</v>
          </cell>
        </row>
        <row r="12">
          <cell r="C12" t="str">
            <v>ST</v>
          </cell>
          <cell r="D12" t="str">
            <v>MET</v>
          </cell>
          <cell r="E12" t="str">
            <v>ESTRUTURA METÁLICA</v>
          </cell>
        </row>
        <row r="13">
          <cell r="C13" t="str">
            <v>EC</v>
          </cell>
          <cell r="D13" t="str">
            <v>ELE</v>
          </cell>
          <cell r="E13" t="str">
            <v>ELÉTRICA</v>
          </cell>
        </row>
        <row r="14">
          <cell r="C14" t="str">
            <v>ED</v>
          </cell>
          <cell r="D14" t="str">
            <v>ELE</v>
          </cell>
          <cell r="E14" t="str">
            <v>ELÉTRICA</v>
          </cell>
        </row>
        <row r="15">
          <cell r="C15" t="str">
            <v>EG</v>
          </cell>
          <cell r="D15" t="str">
            <v>ELE</v>
          </cell>
          <cell r="E15" t="str">
            <v>ELÉTRICA</v>
          </cell>
        </row>
        <row r="16">
          <cell r="C16" t="str">
            <v>EI</v>
          </cell>
          <cell r="D16" t="str">
            <v>ELE</v>
          </cell>
          <cell r="E16" t="str">
            <v>ELÉTRICA</v>
          </cell>
        </row>
        <row r="17">
          <cell r="C17" t="str">
            <v>EP</v>
          </cell>
          <cell r="D17" t="str">
            <v>ELE</v>
          </cell>
          <cell r="E17" t="str">
            <v>ELÉTRICA</v>
          </cell>
        </row>
        <row r="18">
          <cell r="C18" t="str">
            <v>ES</v>
          </cell>
          <cell r="D18" t="str">
            <v>ELE</v>
          </cell>
          <cell r="E18" t="str">
            <v>ELÉTRICA</v>
          </cell>
        </row>
        <row r="19">
          <cell r="C19" t="str">
            <v>GE</v>
          </cell>
          <cell r="D19" t="str">
            <v>ELE</v>
          </cell>
          <cell r="E19" t="str">
            <v>ELÉTRICA</v>
          </cell>
        </row>
        <row r="20">
          <cell r="C20" t="str">
            <v>ET</v>
          </cell>
          <cell r="D20" t="str">
            <v>ELE</v>
          </cell>
          <cell r="E20" t="str">
            <v>ELÉTRICA</v>
          </cell>
        </row>
        <row r="21">
          <cell r="C21" t="str">
            <v>EV</v>
          </cell>
          <cell r="D21" t="str">
            <v>ELE</v>
          </cell>
          <cell r="E21" t="str">
            <v>ELÉTRICA</v>
          </cell>
        </row>
        <row r="22">
          <cell r="C22" t="str">
            <v>EX</v>
          </cell>
          <cell r="D22" t="str">
            <v>ELE</v>
          </cell>
          <cell r="E22" t="str">
            <v>ELÉTRICA</v>
          </cell>
        </row>
        <row r="23">
          <cell r="C23" t="str">
            <v>MM</v>
          </cell>
          <cell r="D23" t="str">
            <v>MEC</v>
          </cell>
          <cell r="E23" t="str">
            <v>MECÂNICA</v>
          </cell>
        </row>
        <row r="24">
          <cell r="C24" t="str">
            <v>MP</v>
          </cell>
          <cell r="D24" t="str">
            <v>PRO</v>
          </cell>
          <cell r="E24" t="str">
            <v>PROCESSO</v>
          </cell>
        </row>
        <row r="25">
          <cell r="C25" t="str">
            <v>MS</v>
          </cell>
          <cell r="D25" t="str">
            <v>MEC</v>
          </cell>
          <cell r="E25" t="str">
            <v>MECÂNICA</v>
          </cell>
        </row>
        <row r="26">
          <cell r="C26" t="str">
            <v>MT</v>
          </cell>
          <cell r="D26" t="str">
            <v>TUB</v>
          </cell>
          <cell r="E26" t="str">
            <v>TUBULAÇÃO</v>
          </cell>
        </row>
        <row r="27">
          <cell r="C27" t="str">
            <v>MX</v>
          </cell>
          <cell r="D27" t="str">
            <v>MEC</v>
          </cell>
          <cell r="E27" t="str">
            <v>MECÂNICA</v>
          </cell>
        </row>
        <row r="28">
          <cell r="C28" t="str">
            <v>PC</v>
          </cell>
          <cell r="D28" t="str">
            <v>-</v>
          </cell>
          <cell r="E28" t="str">
            <v>COORDENAÇÃO</v>
          </cell>
        </row>
        <row r="29">
          <cell r="C29" t="str">
            <v>PG</v>
          </cell>
          <cell r="D29" t="str">
            <v>GC</v>
          </cell>
          <cell r="E29" t="str">
            <v>GERENCIAMENTO DE CONTRATO</v>
          </cell>
        </row>
        <row r="30">
          <cell r="C30" t="str">
            <v>GP</v>
          </cell>
          <cell r="D30" t="str">
            <v>-</v>
          </cell>
          <cell r="E30" t="str">
            <v>PLANEJAMENTO ESCRITÓRIOS</v>
          </cell>
        </row>
        <row r="31">
          <cell r="C31" t="str">
            <v>PP</v>
          </cell>
          <cell r="D31" t="str">
            <v>GPC</v>
          </cell>
          <cell r="E31" t="str">
            <v>PLANEJAMENTO</v>
          </cell>
        </row>
        <row r="32">
          <cell r="C32" t="str">
            <v>PS</v>
          </cell>
          <cell r="D32" t="str">
            <v>GSS</v>
          </cell>
          <cell r="E32" t="str">
            <v>SUPRIMENTOS</v>
          </cell>
        </row>
        <row r="33">
          <cell r="C33" t="str">
            <v>TA</v>
          </cell>
          <cell r="D33" t="str">
            <v>TSA</v>
          </cell>
          <cell r="E33" t="str">
            <v>INSTRUMENTAÇÃO</v>
          </cell>
        </row>
        <row r="34">
          <cell r="C34" t="str">
            <v>TC</v>
          </cell>
          <cell r="D34" t="str">
            <v>TSA</v>
          </cell>
          <cell r="E34" t="str">
            <v>INSTRUMENTAÇÃO</v>
          </cell>
        </row>
        <row r="35">
          <cell r="C35" t="str">
            <v>TI</v>
          </cell>
          <cell r="D35" t="str">
            <v>TSA</v>
          </cell>
          <cell r="E35" t="str">
            <v>INSTRUMENTAÇÃO</v>
          </cell>
        </row>
        <row r="36">
          <cell r="C36" t="str">
            <v>TX</v>
          </cell>
          <cell r="D36" t="str">
            <v>TSA</v>
          </cell>
          <cell r="E36" t="str">
            <v>INSTRUMENTAÇÃO</v>
          </cell>
        </row>
        <row r="37">
          <cell r="C37" t="str">
            <v>CA</v>
          </cell>
          <cell r="D37" t="str">
            <v>CIV</v>
          </cell>
          <cell r="E37" t="str">
            <v>CIVIL</v>
          </cell>
        </row>
        <row r="38">
          <cell r="C38" t="str">
            <v>UA</v>
          </cell>
          <cell r="D38" t="str">
            <v>CIV</v>
          </cell>
          <cell r="E38" t="str">
            <v>CIVIL</v>
          </cell>
        </row>
        <row r="39">
          <cell r="C39" t="str">
            <v>UP</v>
          </cell>
          <cell r="D39" t="str">
            <v>CIV</v>
          </cell>
          <cell r="E39" t="str">
            <v>CIVIL</v>
          </cell>
        </row>
        <row r="40">
          <cell r="C40" t="str">
            <v>UU</v>
          </cell>
          <cell r="D40" t="str">
            <v>CIV</v>
          </cell>
          <cell r="E40" t="str">
            <v>CIVIL</v>
          </cell>
        </row>
        <row r="41">
          <cell r="C41" t="str">
            <v>UX</v>
          </cell>
          <cell r="D41" t="str">
            <v>CIV</v>
          </cell>
          <cell r="E41" t="str">
            <v>CIVIL</v>
          </cell>
        </row>
      </sheetData>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e de Distribuição de Água"/>
      <sheetName val="Rede Distrib Águ (indice 06-06)"/>
      <sheetName val="Módulo1"/>
      <sheetName val="MEMORIAL"/>
      <sheetName val="Serviços Água"/>
      <sheetName val="Replan"/>
      <sheetName val="Resumo"/>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XL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C"/>
      <sheetName val="RPA Julho"/>
      <sheetName val="Valor Mediçao"/>
      <sheetName val="Med 1ª"/>
      <sheetName val="Med 2ª"/>
      <sheetName val="Med 3ª"/>
      <sheetName val="Desc. de materiais"/>
      <sheetName val="Plan1"/>
      <sheetName val="Plan2"/>
      <sheetName val="Plan3"/>
      <sheetName val="Principal"/>
      <sheetName val="Materiais Betuminosos"/>
      <sheetName val="Qd05 Preço"/>
      <sheetName val="Qd06"/>
      <sheetName val="LOTE 6"/>
      <sheetName val="DG"/>
      <sheetName val="Dados"/>
      <sheetName val="Acumulado"/>
      <sheetName val="Orçamento"/>
      <sheetName val="QuQuant"/>
      <sheetName val="Orçamentária"/>
      <sheetName val=""/>
      <sheetName val="BR-267_TR01"/>
      <sheetName val="BR-267_TR02"/>
      <sheetName val="BR-267_TR03"/>
      <sheetName val="BR-376"/>
      <sheetName val="BR-463"/>
      <sheetName val="BR-487"/>
      <sheetName val="RELATA VÉIO"/>
      <sheetName val="Mat"/>
      <sheetName val="CONS_CORR"/>
      <sheetName val="Mobra"/>
      <sheetName val="TLMB"/>
      <sheetName val="SERVIÇOS"/>
      <sheetName val="Micro Revest MAN"/>
      <sheetName val="Micro Revest REC 1ªMP"/>
      <sheetName val="REM.MEC MAT.BET.MAN"/>
      <sheetName val="TRANSPORTE REC"/>
      <sheetName val="alteração"/>
      <sheetName val="PGR"/>
      <sheetName val="[OR960887.XLS][OR960887.XLS][OR"/>
      <sheetName val="//localhost/@/DFBSA00535/dyna01"/>
      <sheetName val="SIIG 2010-Jun"/>
      <sheetName val="Tabsal-2.9"/>
      <sheetName val="\\DFBSA00535\dyna01\ClaudioFerr"/>
      <sheetName val="CUSTO LARANJEIRAS"/>
      <sheetName val="8ª MP_BR_459"/>
      <sheetName val="PLANILHA ATUALIZADA"/>
      <sheetName val="__localhost_@_DFBSA00535_dyna01"/>
      <sheetName val="Final"/>
      <sheetName val="Inicio"/>
      <sheetName val="Organiza"/>
      <sheetName val="page 1"/>
      <sheetName val="page 2"/>
      <sheetName val="page 3"/>
      <sheetName val="page 4"/>
      <sheetName val="page 5"/>
      <sheetName val="page 6"/>
      <sheetName val="page 7"/>
      <sheetName val="page 8"/>
      <sheetName val="SERVIÇOS CUSTO SICRO"/>
      <sheetName val="Equipamentos"/>
      <sheetName val="Materiais"/>
      <sheetName val="Mão de Obra"/>
      <sheetName val="Mapa Localização"/>
      <sheetName val="PATO"/>
      <sheetName val="Valeta"/>
      <sheetName val="Descida"/>
      <sheetName val="Meio-Fio"/>
      <sheetName val="Sarjeta"/>
      <sheetName val="Bueiro"/>
      <sheetName val="Plan.Preç.Unit."/>
      <sheetName val="QUANT E CUSTOS"/>
      <sheetName val="Transportes"/>
      <sheetName val="Referência"/>
      <sheetName val="Cronograma"/>
      <sheetName val="Grafico Dist. Transp"/>
      <sheetName val="Mobilização e Desmob"/>
      <sheetName val="Resumo Inventario"/>
      <sheetName val="Defensa Recompor"/>
      <sheetName val="Pintura Faixa"/>
      <sheetName val="Pintura Setas"/>
      <sheetName val="Tacha"/>
      <sheetName val="Sinalização"/>
      <sheetName val="Lay out canteiro"/>
      <sheetName val="Custo Canteiro"/>
      <sheetName val="Transp com c carroc rodov pav"/>
      <sheetName val="Aquis. CAP-50-70 MBUQ"/>
      <sheetName val="Transp. CAP-50-70 MBUQ"/>
      <sheetName val="Aquis. RR-1C Remendo"/>
      <sheetName val="Transp. RR-1C Remendo"/>
      <sheetName val="Aquis. RR-1C Tapa Buraco"/>
      <sheetName val="Trans. RR-1C Tapa Buraco"/>
      <sheetName val="Aquis. RR-1C Correção"/>
      <sheetName val="Trans. RR-1C Correção"/>
      <sheetName val="E011"/>
      <sheetName val="E016"/>
      <sheetName val="E400"/>
      <sheetName val="E408"/>
      <sheetName val="[OR960887.XLS]//localhost/@/DFB"/>
      <sheetName val="Teor"/>
      <sheetName val="comp1"/>
      <sheetName val="Estimativa"/>
      <sheetName val="P1Q2"/>
      <sheetName val="[OR960887.XLS][OR960887.XLS]//l"/>
      <sheetName val="Resumo Financeiro"/>
      <sheetName val="Índices de Reajustamento"/>
      <sheetName val="TB"/>
      <sheetName val="TB _BG_"/>
      <sheetName val="RemProf"/>
      <sheetName val="P A T O 98 D"/>
      <sheetName val="01-02-03-Julho"/>
      <sheetName val="Resumo"/>
      <sheetName val="\Users\claudiopvf\Documents\BR-"/>
      <sheetName val="TABELA DE COMPOSIÇÕES - SINAPI "/>
      <sheetName val="PlanQuant"/>
      <sheetName val="LUCRO SOBRE VENDA"/>
      <sheetName val="PlanSicroII cBDI"/>
      <sheetName val="CronFin"/>
      <sheetName val="PlanSicroII"/>
      <sheetName val="pcpu"/>
      <sheetName val="mãodeobra"/>
      <sheetName val="cheq"/>
      <sheetName val="preqmec"/>
      <sheetName val="Dados Iniciais"/>
      <sheetName val="Quadro_Solução"/>
      <sheetName val="Quadro_Solução Readequação"/>
      <sheetName val="Quadro_Solução (2)"/>
      <sheetName val="Qdro. executado"/>
      <sheetName val="Quadro_de solução (2)"/>
      <sheetName val="Qdro. Comparativo"/>
      <sheetName val="PQ"/>
      <sheetName val="Carimbo de Nota"/>
      <sheetName val="FLUXO - EXECUÇÃO PRÓPRIA"/>
      <sheetName val="08-IND. FÍSICOS"/>
      <sheetName val="Memória_Cálculo"/>
      <sheetName val="DSS_04"/>
      <sheetName val="PintLigacao"/>
      <sheetName val="PMQ"/>
      <sheetName val="STC_01"/>
      <sheetName val="8ª MP_BR-459"/>
      <sheetName val="RESUMO_AUT1"/>
      <sheetName val="PLANILHA"/>
      <sheetName val="P A T O"/>
      <sheetName val="SICRO"/>
      <sheetName val="Especif"/>
      <sheetName val="Dados Informativos"/>
      <sheetName val="Tabela de Salários Adotada"/>
      <sheetName val="BR-230 POMBAL-S.GONÇALO"/>
      <sheetName val="Lançamentos"/>
      <sheetName val="Tipo Despesa"/>
      <sheetName val="Cad.Fornecedores"/>
      <sheetName val="CUSTO ZONA SUL"/>
      <sheetName val="[OR960887.XLS][OR960887.XLS]\\D"/>
      <sheetName val="[OR960887.XLS]\\DFBSA00535\dyna"/>
      <sheetName val="MEM CAL RET ASFALTO"/>
      <sheetName val="MEM CAL TOPOGRAFIA"/>
      <sheetName val="MEM CALC REC CALÇAMENTO"/>
      <sheetName val="MEM CAL TRECHO ETAIV ILHA GRAND"/>
      <sheetName val="MEM CAL TRECHO ETAIV ILHA G ESC"/>
      <sheetName val="C.LIST ANEXO"/>
      <sheetName val="FATURA ANEXO 1"/>
      <sheetName val="MEDIÇÃO ANEXO 2A"/>
      <sheetName val="MEM. CALC. QUANTITATIVOS CAIXA"/>
      <sheetName val="LICITAÇÃO"/>
      <sheetName val="MEDIÇÃO ANEXO 2A (caixa)"/>
      <sheetName val="1ª MEDIÇÃO"/>
      <sheetName val="1ª MEDIÇÃO PONTE"/>
      <sheetName val="RELAÇÃO DE BUEIROS"/>
      <sheetName val="Vol Terraple consolidado"/>
      <sheetName val="Vol Terraple"/>
      <sheetName val="RELATÓRIO FOTOGRÁFICO NEXO 5"/>
      <sheetName val="CRON. FÍS. REAL. ANEXO 6 (2)"/>
      <sheetName val="CRON. FÍS. REAL. ANEXO 6"/>
      <sheetName val="NOVO QUADRO RESUMO FINANCEIRO"/>
      <sheetName val="LAUDO TÉCNICO ANEXO 8"/>
      <sheetName val="DIÁRIO  DE OBRA ANEXO 9"/>
      <sheetName val="Cron.Iluminada"/>
      <sheetName val="ISSQN"/>
      <sheetName val="FATURA ANEXO 1 Reajuste"/>
      <sheetName val="REAJUSTE"/>
      <sheetName val="coluna 35 -incc"/>
      <sheetName val="DADOS ."/>
      <sheetName val="FOTOS"/>
      <sheetName val="ESTACAS"/>
      <sheetName val="Insumos"/>
      <sheetName val="SERV SICRO SD"/>
      <sheetName val="EQ SICRO"/>
      <sheetName val="MO SICRO"/>
      <sheetName val="MAT SICRO"/>
      <sheetName val="QD DMT"/>
      <sheetName val="COT MAT"/>
      <sheetName val="COT EQUIP"/>
      <sheetName val="SERVICOS"/>
      <sheetName val="SERVICOS AUX"/>
      <sheetName val="MOBILIZACAO"/>
      <sheetName val=" EQUIPE MÍNIMA"/>
      <sheetName val="EQUIP MINIMO"/>
      <sheetName val="Momento de Transporte"/>
      <sheetName val="BINOMIO CBUQ"/>
      <sheetName val="BINOMIO CAP"/>
      <sheetName val="BINOMIO EAI"/>
      <sheetName val="BINOMIO RR-1C"/>
      <sheetName val="BINOMIO RM-1C"/>
      <sheetName val="BINOMIO RR-2C"/>
      <sheetName val="TERRAPLENAGEM"/>
      <sheetName val="5501710"/>
      <sheetName val="5502109"/>
      <sheetName val="5502110"/>
      <sheetName val="5502111"/>
      <sheetName val="5501878"/>
      <sheetName val="5502899"/>
      <sheetName val="5915320"/>
      <sheetName val="5915321"/>
      <sheetName val="5503041"/>
      <sheetName val="4011209"/>
      <sheetName val="4413984"/>
      <sheetName val="5501701"/>
      <sheetName val="5501700"/>
      <sheetName val="5501702"/>
      <sheetName val="1506055"/>
      <sheetName val="1516300"/>
      <sheetName val="9100000"/>
      <sheetName val="2003866"/>
      <sheetName val="2003369"/>
      <sheetName val="2003377"/>
      <sheetName val="2003319"/>
      <sheetName val="2003325"/>
      <sheetName val="2003349"/>
      <sheetName val="2003313"/>
      <sheetName val="2003315"/>
      <sheetName val="2003307"/>
      <sheetName val="2003309"/>
      <sheetName val="2003385 "/>
      <sheetName val="2003387"/>
      <sheetName val="2003391"/>
      <sheetName val="2003393 "/>
      <sheetName val="2003407"/>
      <sheetName val="2003411 "/>
      <sheetName val="2003415 "/>
      <sheetName val="2003419"/>
      <sheetName val="2003403 "/>
      <sheetName val="2003447"/>
      <sheetName val="2003449"/>
      <sheetName val="2003569"/>
      <sheetName val="2003611 "/>
      <sheetName val="2003613 "/>
      <sheetName val="2003641"/>
      <sheetName val="2003477"/>
      <sheetName val="2003678"/>
      <sheetName val="2003479 "/>
      <sheetName val="2003487 "/>
      <sheetName val="2003489"/>
      <sheetName val="2003495"/>
      <sheetName val="2003505 "/>
      <sheetName val="2003513"/>
      <sheetName val="2003658"/>
      <sheetName val="2003624"/>
      <sheetName val="0804021"/>
      <sheetName val="0804029 "/>
      <sheetName val="0804031 "/>
      <sheetName val="0804037"/>
      <sheetName val="0804081 "/>
      <sheetName val="0804101 "/>
      <sheetName val="0804121 "/>
      <sheetName val="4805757 "/>
      <sheetName val="4915671"/>
      <sheetName val="2106292 "/>
      <sheetName val="2106297"/>
      <sheetName val="9000001"/>
      <sheetName val="9000002"/>
      <sheetName val="9000003"/>
      <sheetName val="9000004"/>
      <sheetName val="9000005"/>
      <sheetName val="2003497"/>
      <sheetName val="PAVIMENTAÇÃO"/>
      <sheetName val="4011479"/>
      <sheetName val="4915667"/>
      <sheetName val="4915669"/>
      <sheetName val="1600438"/>
      <sheetName val="9300000"/>
      <sheetName val="9300001"/>
      <sheetName val="9300002"/>
      <sheetName val="9300003"/>
      <sheetName val="4011464"/>
      <sheetName val="4011360"/>
      <sheetName val="4011492"/>
      <sheetName val="4011352"/>
      <sheetName val="4011353"/>
      <sheetName val="9300004"/>
      <sheetName val="4011276"/>
      <sheetName val="4011282"/>
      <sheetName val="4011278"/>
      <sheetName val="4011537"/>
      <sheetName val="9300005"/>
      <sheetName val="M1943"/>
      <sheetName val="M1946"/>
      <sheetName val="M1947"/>
      <sheetName val="M2097"/>
      <sheetName val="M2092"/>
      <sheetName val="5914620"/>
      <sheetName val="5914622"/>
      <sheetName val="SINALIZACAO"/>
      <sheetName val="5213408"/>
      <sheetName val="5213410"/>
      <sheetName val="5214009"/>
      <sheetName val="9600000"/>
      <sheetName val="5213401 "/>
      <sheetName val="5213359"/>
      <sheetName val="5213393 "/>
      <sheetName val="5213361 "/>
      <sheetName val="5213446"/>
      <sheetName val="5213444"/>
      <sheetName val="5213442"/>
      <sheetName val="5213440"/>
      <sheetName val="5213450"/>
      <sheetName val="5213466"/>
      <sheetName val="5213477"/>
      <sheetName val="9100002"/>
      <sheetName val="5213476"/>
      <sheetName val="5213571"/>
      <sheetName val="5213577"/>
      <sheetName val="5213574"/>
      <sheetName val="5213485"/>
      <sheetName val="5213629"/>
      <sheetName val="5213631"/>
      <sheetName val="5213646"/>
      <sheetName val="5213857"/>
      <sheetName val="5213855"/>
      <sheetName val="5213861"/>
      <sheetName val="5213853"/>
      <sheetName val="5213851"/>
      <sheetName val="5213865"/>
      <sheetName val="5213868"/>
      <sheetName val="5213869"/>
      <sheetName val="5216111"/>
      <sheetName val="3713604"/>
      <sheetName val="3713605"/>
      <sheetName val="3713623"/>
      <sheetName val="3713828"/>
      <sheetName val="3713621"/>
      <sheetName val="9600001"/>
      <sheetName val="9600002"/>
      <sheetName val="9600003"/>
      <sheetName val="9600004"/>
      <sheetName val="1600966"/>
      <sheetName val="3713610"/>
      <sheetName val="5213368"/>
      <sheetName val="5213364"/>
      <sheetName val="SIN OBRAS"/>
      <sheetName val="5212560"/>
      <sheetName val="5212557"/>
      <sheetName val="5212556"/>
      <sheetName val="5213386"/>
      <sheetName val="5213838"/>
      <sheetName val="5213835"/>
      <sheetName val="5213840"/>
      <sheetName val="5213848"/>
      <sheetName val="5213833"/>
      <sheetName val="5213850"/>
      <sheetName val="5213845"/>
      <sheetName val="INTERFERÊNCIAS"/>
      <sheetName val="1600896"/>
      <sheetName val="1600436"/>
      <sheetName val="1600989"/>
      <sheetName val="1600442"/>
      <sheetName val="1600401"/>
      <sheetName val="1600402"/>
      <sheetName val="605621"/>
      <sheetName val="9700000"/>
      <sheetName val="5915440"/>
      <sheetName val="5914675"/>
      <sheetName val="5914621"/>
      <sheetName val="4011351"/>
      <sheetName val="5914314"/>
      <sheetName val="5914329"/>
      <sheetName val="5914344"/>
      <sheetName val="PAISAGISMO"/>
      <sheetName val="9800000"/>
      <sheetName val="4413948"/>
      <sheetName val="4413952"/>
      <sheetName val="ILUMINACAO"/>
      <sheetName val="9900000"/>
      <sheetName val="9900001"/>
      <sheetName val="9900002"/>
      <sheetName val="9900003"/>
      <sheetName val="9900004"/>
      <sheetName val="9900005"/>
      <sheetName val="9900006"/>
      <sheetName val="9900007"/>
      <sheetName val="9900008"/>
      <sheetName val="9900009"/>
      <sheetName val="9900010"/>
      <sheetName val="9900011"/>
      <sheetName val="9900012"/>
      <sheetName val="9900013"/>
      <sheetName val="9900014"/>
      <sheetName val="9900015"/>
      <sheetName val="9900016"/>
      <sheetName val="9900017"/>
      <sheetName val="9900018"/>
      <sheetName val="9900019"/>
      <sheetName val="9900020"/>
      <sheetName val="9900021"/>
      <sheetName val="9900022"/>
      <sheetName val="9900023"/>
      <sheetName val="9900024"/>
      <sheetName val="9900025"/>
      <sheetName val="9900026"/>
      <sheetName val="9900027"/>
      <sheetName val="9900028"/>
      <sheetName val="9900029"/>
      <sheetName val="9900030"/>
      <sheetName val="9900031"/>
      <sheetName val="9900032"/>
      <sheetName val="9900033"/>
      <sheetName val="9900034"/>
      <sheetName val="9900035"/>
      <sheetName val="9900036"/>
      <sheetName val="9900037"/>
      <sheetName val="9900038"/>
      <sheetName val="9900039"/>
      <sheetName val="9900040"/>
      <sheetName val="9900041"/>
      <sheetName val="9900042"/>
      <sheetName val="9900043"/>
      <sheetName val="9900044"/>
      <sheetName val="9900045"/>
      <sheetName val="9900046"/>
      <sheetName val="9900047"/>
      <sheetName val="9900048"/>
      <sheetName val="9900049"/>
      <sheetName val="9900050"/>
      <sheetName val="9900051"/>
      <sheetName val="9900052"/>
      <sheetName val="9900053"/>
      <sheetName val="9900054"/>
      <sheetName val="9900055"/>
      <sheetName val="9900056"/>
      <sheetName val="9900057"/>
      <sheetName val="9900058"/>
      <sheetName val="9900059"/>
      <sheetName val="9900060"/>
      <sheetName val="9900061"/>
      <sheetName val="9900062"/>
      <sheetName val="9900063"/>
      <sheetName val="9900064"/>
      <sheetName val="9900065"/>
      <sheetName val="9900066"/>
      <sheetName val="9900067"/>
      <sheetName val="9900068"/>
      <sheetName val="9900069"/>
      <sheetName val="9900070"/>
      <sheetName val="9900071"/>
      <sheetName val="9900072"/>
      <sheetName val="9900073"/>
      <sheetName val="9900074"/>
      <sheetName val="9900075"/>
      <sheetName val="9900076"/>
      <sheetName val="9900077"/>
      <sheetName val="9900078"/>
      <sheetName val="9900079"/>
      <sheetName val="9900080"/>
      <sheetName val="9900081"/>
      <sheetName val="9900082"/>
      <sheetName val="9900083"/>
      <sheetName val="9900084"/>
      <sheetName val="ARQUITETURA"/>
      <sheetName val="9010000"/>
      <sheetName val="9010001"/>
      <sheetName val="9010002"/>
      <sheetName val="9010003"/>
      <sheetName val="9010004"/>
      <sheetName val="9010005"/>
      <sheetName val="9010006"/>
      <sheetName val="9010007"/>
      <sheetName val="9010008"/>
      <sheetName val="9010009"/>
      <sheetName val="90100010"/>
      <sheetName val="90100011"/>
      <sheetName val="9010012"/>
      <sheetName val="9010013"/>
      <sheetName val="9010014"/>
      <sheetName val="9010015"/>
      <sheetName val="9010016"/>
      <sheetName val="9010017"/>
      <sheetName val="9010018"/>
      <sheetName val="9010019"/>
      <sheetName val="9010020"/>
      <sheetName val="9010021"/>
      <sheetName val="9010022"/>
      <sheetName val="9010023"/>
      <sheetName val="9010024"/>
      <sheetName val="9010025"/>
      <sheetName val="9010026"/>
      <sheetName val="9010027"/>
      <sheetName val="9010028"/>
      <sheetName val="9010029"/>
      <sheetName val="EST DE CONC. E METAL"/>
      <sheetName val="1107896"/>
      <sheetName val="1100657"/>
      <sheetName val="3108005"/>
      <sheetName val="407819"/>
      <sheetName val="407820"/>
      <sheetName val="2306010"/>
      <sheetName val="9010200"/>
      <sheetName val="9010201"/>
      <sheetName val="9010202"/>
      <sheetName val="9010203"/>
      <sheetName val="9010204"/>
      <sheetName val="9010205"/>
      <sheetName val="9010206"/>
      <sheetName val="9010207"/>
      <sheetName val="9010208"/>
      <sheetName val="9010209"/>
      <sheetName val="9010210"/>
      <sheetName val="9010211"/>
      <sheetName val="9010212"/>
      <sheetName val="9010213"/>
      <sheetName val="9010214"/>
      <sheetName val="9010215"/>
      <sheetName val="9010216"/>
      <sheetName val="ELETRICA"/>
      <sheetName val="9010300"/>
      <sheetName val="9010301"/>
      <sheetName val="9010302"/>
      <sheetName val="9010303"/>
      <sheetName val="9010304"/>
      <sheetName val="9010305"/>
      <sheetName val="9010306"/>
      <sheetName val="9010307"/>
      <sheetName val="9010308"/>
      <sheetName val="9010309"/>
      <sheetName val="9010310"/>
      <sheetName val="9010311"/>
      <sheetName val="9010312"/>
      <sheetName val="9010313"/>
      <sheetName val="9010314"/>
      <sheetName val="9010315"/>
      <sheetName val="9010316"/>
      <sheetName val="9010317"/>
      <sheetName val="9010318"/>
      <sheetName val="9010319"/>
      <sheetName val="9010320"/>
      <sheetName val="9010321"/>
      <sheetName val="9010322"/>
      <sheetName val="9010323"/>
      <sheetName val="9010324"/>
      <sheetName val="9010325"/>
      <sheetName val="9010326"/>
      <sheetName val="9010327"/>
      <sheetName val="9010328"/>
      <sheetName val="9010329"/>
      <sheetName val="9010330"/>
      <sheetName val="9010331"/>
      <sheetName val="9010332"/>
      <sheetName val="9010333"/>
      <sheetName val="9010334"/>
      <sheetName val="9010335"/>
      <sheetName val="9010336"/>
      <sheetName val="9010337"/>
      <sheetName val="9010338"/>
      <sheetName val="9010339"/>
      <sheetName val="9010340"/>
      <sheetName val="9010341"/>
      <sheetName val="9010342"/>
      <sheetName val="9010343"/>
      <sheetName val="9010344"/>
      <sheetName val="9010345"/>
      <sheetName val="9010346"/>
      <sheetName val="9010347"/>
      <sheetName val="9010348"/>
      <sheetName val="9010349"/>
      <sheetName val="9010350"/>
      <sheetName val="9010351"/>
      <sheetName val="9010352"/>
      <sheetName val="9010353"/>
      <sheetName val="9010354"/>
      <sheetName val="9010355"/>
      <sheetName val="9010356"/>
      <sheetName val="9010357"/>
      <sheetName val="9010358"/>
      <sheetName val="9010359"/>
      <sheetName val="9010360"/>
      <sheetName val="9010361"/>
      <sheetName val="9010362"/>
      <sheetName val="9010363"/>
      <sheetName val="9010364"/>
      <sheetName val="9010365"/>
      <sheetName val="9010366"/>
      <sheetName val="9010367"/>
      <sheetName val="9010368"/>
      <sheetName val="INST. HIDRÁULICAS"/>
      <sheetName val="1108111"/>
      <sheetName val="9010401"/>
      <sheetName val="9010402"/>
      <sheetName val="9010403"/>
      <sheetName val="9010404"/>
      <sheetName val="9010405"/>
      <sheetName val="9010406"/>
      <sheetName val="9010407"/>
      <sheetName val="9010408"/>
      <sheetName val="9010409"/>
      <sheetName val="9010410"/>
      <sheetName val="9010411"/>
      <sheetName val="9010412"/>
      <sheetName val="9010413"/>
      <sheetName val="9010414"/>
      <sheetName val="9010415"/>
      <sheetName val="9010416"/>
      <sheetName val="9010417"/>
      <sheetName val="9010418"/>
      <sheetName val="9010419"/>
      <sheetName val="9010420"/>
      <sheetName val="9010421"/>
      <sheetName val="9010422"/>
      <sheetName val="9010423"/>
      <sheetName val="9010424"/>
      <sheetName val="9010425"/>
      <sheetName val="9010426"/>
      <sheetName val="9010427"/>
      <sheetName val="9010428"/>
      <sheetName val="9010429"/>
      <sheetName val="9010430"/>
      <sheetName val="9010431"/>
      <sheetName val="9010432"/>
      <sheetName val="9010433"/>
      <sheetName val="9010434"/>
      <sheetName val="9010435"/>
      <sheetName val="9010436"/>
      <sheetName val="9010437"/>
      <sheetName val="9010438"/>
      <sheetName val="9010439"/>
      <sheetName val="9010440"/>
      <sheetName val="9010441"/>
      <sheetName val="9010442"/>
      <sheetName val="9010443"/>
      <sheetName val="9010444"/>
      <sheetName val="9010446"/>
      <sheetName val="9010447"/>
      <sheetName val="9010448"/>
      <sheetName val="9010449"/>
      <sheetName val="9010450"/>
      <sheetName val="9010451"/>
      <sheetName val="9010452"/>
      <sheetName val="9010453"/>
      <sheetName val="9010454"/>
      <sheetName val="9010455"/>
      <sheetName val="9010456"/>
      <sheetName val="9010457"/>
      <sheetName val="9010458"/>
      <sheetName val="9010459"/>
      <sheetName val="9010460"/>
      <sheetName val="9010461"/>
      <sheetName val="9010462"/>
      <sheetName val="9010463"/>
      <sheetName val="9010464"/>
      <sheetName val="9010465"/>
      <sheetName val="9010466"/>
      <sheetName val="9010467"/>
      <sheetName val="9010468"/>
      <sheetName val="9010469"/>
      <sheetName val="9010470"/>
      <sheetName val="9010471"/>
      <sheetName val="9010472"/>
      <sheetName val="9010473"/>
      <sheetName val="9010474"/>
      <sheetName val="9010475"/>
      <sheetName val="9010476"/>
      <sheetName val="9010477"/>
      <sheetName val="9010478"/>
      <sheetName val="9010479"/>
      <sheetName val="9010480"/>
      <sheetName val="9010481"/>
      <sheetName val="9010482"/>
      <sheetName val="9010483"/>
      <sheetName val="9010484"/>
      <sheetName val="9010485"/>
      <sheetName val="INCÊNDIO"/>
      <sheetName val="9010501"/>
      <sheetName val="9010502"/>
      <sheetName val="9010503"/>
      <sheetName val="9010504"/>
      <sheetName val="9010505"/>
      <sheetName val="9010506"/>
      <sheetName val="9010507"/>
      <sheetName val="9010508"/>
      <sheetName val="9010509"/>
      <sheetName val="9010510"/>
      <sheetName val="9010511"/>
      <sheetName val="AMBIENTAL"/>
      <sheetName val="4413905"/>
      <sheetName val="4413023"/>
      <sheetName val="9011000"/>
      <sheetName val="Sol. Tecnologicas"/>
      <sheetName val="9012100"/>
      <sheetName val="9012101"/>
      <sheetName val="9012102"/>
      <sheetName val="9012103"/>
      <sheetName val="9012104"/>
      <sheetName val="9012105"/>
      <sheetName val="9012106"/>
      <sheetName val="9012107"/>
      <sheetName val="9012108"/>
      <sheetName val="9012109"/>
      <sheetName val="9012110"/>
      <sheetName val="9012111"/>
      <sheetName val="9012112"/>
      <sheetName val="9012113"/>
      <sheetName val="9012114"/>
      <sheetName val="9012115"/>
      <sheetName val="9012116"/>
      <sheetName val="9012117"/>
      <sheetName val="9012118"/>
      <sheetName val="9012119"/>
      <sheetName val="9012120"/>
      <sheetName val="9012121"/>
      <sheetName val="9012122"/>
      <sheetName val="9012123"/>
      <sheetName val="9012124"/>
      <sheetName val="CANT E MOB"/>
      <sheetName val="0903804"/>
      <sheetName val="4011519"/>
      <sheetName val="4016096"/>
      <sheetName val="9002001"/>
      <sheetName val="9002002"/>
      <sheetName val="9002003"/>
      <sheetName val="9002004"/>
      <sheetName val="9002005"/>
      <sheetName val="9002006"/>
      <sheetName val="9002007"/>
      <sheetName val="9002008"/>
      <sheetName val="9002009"/>
      <sheetName val="9002010"/>
      <sheetName val="9002011"/>
      <sheetName val="9002012"/>
      <sheetName val="9002013"/>
      <sheetName val="0919101"/>
      <sheetName val="9002014"/>
      <sheetName val="9002015"/>
      <sheetName val="9002016"/>
      <sheetName val="9002017"/>
      <sheetName val="9002018"/>
      <sheetName val="AUXILIARES"/>
      <sheetName val="1109669"/>
      <sheetName val="2003842"/>
      <sheetName val="1107892"/>
      <sheetName val="4805751"/>
      <sheetName val="3103302"/>
      <sheetName val="3106121"/>
      <sheetName val="4805755"/>
      <sheetName val="3108022"/>
      <sheetName val="4413996"/>
      <sheetName val="4413995"/>
      <sheetName val="4816106"/>
      <sheetName val="4805757"/>
      <sheetName val="4816119"/>
      <sheetName val="4805750"/>
      <sheetName val="1109671"/>
      <sheetName val="1106165"/>
      <sheetName val="1106057"/>
      <sheetName val="2009619"/>
      <sheetName val="1109697"/>
      <sheetName val="5213414"/>
      <sheetName val="5212552"/>
      <sheetName val="5213421"/>
      <sheetName val="5213417"/>
      <sheetName val="5213423"/>
      <sheetName val="5213431"/>
      <sheetName val="5213436"/>
      <sheetName val="407740"/>
      <sheetName val="3107967"/>
      <sheetName val="3713824"/>
      <sheetName val="4816129"/>
      <sheetName val="4816131"/>
      <sheetName val="5216116"/>
      <sheetName val="2105605"/>
      <sheetName val="1119528"/>
      <sheetName val="1116127"/>
      <sheetName val="6416040"/>
      <sheetName val="6416042"/>
      <sheetName val="6416094"/>
      <sheetName val="1107871"/>
      <sheetName val="408067"/>
      <sheetName val="4816012"/>
      <sheetName val="4816010"/>
      <sheetName val="5213416"/>
      <sheetName val="5219546"/>
      <sheetName val="1419543"/>
      <sheetName val="2408057"/>
      <sheetName val="5219544"/>
      <sheetName val="2408070"/>
      <sheetName val="3807865"/>
      <sheetName val="4011211"/>
      <sheetName val="3713608"/>
      <sheetName val="5502986"/>
      <sheetName val="0903845"/>
      <sheetName val="0903846"/>
      <sheetName val="0919011"/>
      <sheetName val="5502985"/>
      <sheetName val="4805754"/>
      <sheetName val="3107997"/>
      <sheetName val="0903848"/>
      <sheetName val="1408173"/>
      <sheetName val="2408058"/>
      <sheetName val="1416139"/>
      <sheetName val="1400973"/>
      <sheetName val="1400974"/>
      <sheetName val="1416140 "/>
      <sheetName val="6416090"/>
      <sheetName val="#REF"/>
      <sheetName val="RECOMPOSIÇÃO MAN"/>
      <sheetName val="Página 16"/>
      <sheetName val="DBS"/>
    </sheetNames>
    <definedNames>
      <definedName name="PassaExtens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35">
          <cell r="A35" t="str">
            <v>ASTU</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refreshError="1"/>
      <sheetData sheetId="169"/>
      <sheetData sheetId="170"/>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refreshError="1"/>
      <sheetData sheetId="852" refreshError="1"/>
      <sheetData sheetId="853" refreshError="1"/>
      <sheetData sheetId="8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ao Terraplenagem"/>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ao Terraplenagem"/>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
      <sheetName val="MATERIAL"/>
      <sheetName val="COMPOSIÇÃO"/>
      <sheetName val="Planilha"/>
      <sheetName val="Replan"/>
      <sheetName val="Resumo"/>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NoPrint"/>
      <sheetName val="ComparaQuantNoPrint"/>
      <sheetName val="TodasTraf-2011-NoPrint"/>
      <sheetName val="TrafPb008"/>
      <sheetName val="PavPb008"/>
      <sheetName val="TrafPb027"/>
      <sheetName val="PavPb027"/>
      <sheetName val="TrafPb033(1)"/>
      <sheetName val="PavPb033(1)"/>
      <sheetName val="TrafPb033(2)"/>
      <sheetName val="PavPb033(2)"/>
      <sheetName val="TrafPb059(1)"/>
      <sheetName val="PavPb059(1)"/>
      <sheetName val="TrafPb059(2)"/>
      <sheetName val="PavPb059(2)"/>
      <sheetName val="TrafPb061"/>
      <sheetName val="PavPb061"/>
      <sheetName val="TrafPb065"/>
      <sheetName val="PavPb065"/>
      <sheetName val="TodasTraf-2000-NoPrint"/>
      <sheetName val="Br101-NoPrint"/>
      <sheetName val="TrafAnual-NoPrint"/>
      <sheetName val="TrafContExpan-NoPrint"/>
      <sheetName val="PavComplNoPrint"/>
      <sheetName val="bm 8"/>
      <sheetName val="planilha"/>
      <sheetName val="BDI"/>
      <sheetName val="recur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
      <sheetName val="planilha de quant. e custos a"/>
      <sheetName val="planilha de quant_ e custos a"/>
      <sheetName val="Plan1"/>
      <sheetName val="MEMORIAL"/>
      <sheetName val="Replan"/>
      <sheetName val="EMERGÊNCIA"/>
      <sheetName val="MEDICAO"/>
      <sheetName val="BASE 5E"/>
      <sheetName val="Orçamento e Medição - MO37587"/>
      <sheetName val="RESUMO - MO37588"/>
      <sheetName val="bm 8"/>
      <sheetName val="baixo guandu itaimb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Granulometria"/>
      <sheetName val="Compactação e CBR"/>
      <sheetName val="Metodologia"/>
    </sheetNames>
    <sheetDataSet>
      <sheetData sheetId="0"/>
      <sheetData sheetId="1">
        <row r="7">
          <cell r="H7" t="str">
            <v>Faixa "A" DNIT</v>
          </cell>
        </row>
      </sheetData>
      <sheetData sheetId="2"/>
      <sheetData sheetId="3">
        <row r="6">
          <cell r="M6">
            <v>1.28</v>
          </cell>
        </row>
        <row r="7">
          <cell r="M7">
            <v>1.64</v>
          </cell>
        </row>
        <row r="8">
          <cell r="M8">
            <v>0.67</v>
          </cell>
        </row>
        <row r="10">
          <cell r="I10" t="str">
            <v>Faixa "A" DNIT</v>
          </cell>
          <cell r="K10" t="str">
            <v>Faixa "B" DNIT</v>
          </cell>
          <cell r="M10" t="str">
            <v>Faixa "C" DNIT</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2"/>
      <sheetName val="BDI"/>
      <sheetName val="equipes tipicas"/>
      <sheetName val="bd custo"/>
      <sheetName val="bd mo"/>
      <sheetName val="bd mat"/>
      <sheetName val="recursos"/>
      <sheetName val="a"/>
      <sheetName val="Etapa Única"/>
      <sheetName val="planilha"/>
      <sheetName val="CONS. SIMPLES"/>
    </sheetNames>
    <sheetDataSet>
      <sheetData sheetId="0" refreshError="1"/>
      <sheetData sheetId="1" refreshError="1">
        <row r="85">
          <cell r="E85">
            <v>1</v>
          </cell>
        </row>
        <row r="97">
          <cell r="E97">
            <v>1</v>
          </cell>
        </row>
      </sheetData>
      <sheetData sheetId="2" refreshError="1"/>
      <sheetData sheetId="3" refreshError="1"/>
      <sheetData sheetId="4" refreshError="1"/>
      <sheetData sheetId="5"/>
      <sheetData sheetId="6" refreshError="1">
        <row r="2">
          <cell r="A2">
            <v>1</v>
          </cell>
          <cell r="B2" t="str">
            <v>Andaime c/ pranchões de madeira</v>
          </cell>
          <cell r="C2" t="str">
            <v>M2xMÊS</v>
          </cell>
          <cell r="E2">
            <v>0.55000000000000004</v>
          </cell>
        </row>
        <row r="3">
          <cell r="A3">
            <v>2</v>
          </cell>
          <cell r="B3" t="str">
            <v>Andaime tipo quadro (1,50x1,0x1,0)</v>
          </cell>
          <cell r="C3" t="str">
            <v>M3xMÊS</v>
          </cell>
          <cell r="E3">
            <v>25</v>
          </cell>
        </row>
        <row r="4">
          <cell r="A4">
            <v>3</v>
          </cell>
          <cell r="B4" t="str">
            <v>Andaime tipo tubular</v>
          </cell>
          <cell r="C4" t="str">
            <v>MxMÊS</v>
          </cell>
          <cell r="E4">
            <v>2.5</v>
          </cell>
        </row>
        <row r="5">
          <cell r="A5">
            <v>4</v>
          </cell>
          <cell r="B5" t="str">
            <v>Aparelho Jato</v>
          </cell>
          <cell r="C5" t="str">
            <v>MÊS</v>
          </cell>
          <cell r="D5">
            <v>9.375</v>
          </cell>
          <cell r="E5">
            <v>1500</v>
          </cell>
        </row>
        <row r="6">
          <cell r="A6">
            <v>5</v>
          </cell>
          <cell r="B6" t="str">
            <v>Bancadas (vb p/ aquisição)</v>
          </cell>
          <cell r="C6" t="str">
            <v>MÊS</v>
          </cell>
          <cell r="D6">
            <v>0.9375</v>
          </cell>
          <cell r="E6">
            <v>150</v>
          </cell>
        </row>
        <row r="7">
          <cell r="A7">
            <v>6</v>
          </cell>
          <cell r="B7" t="str">
            <v>Bisaladeira de tubos - cinta</v>
          </cell>
          <cell r="C7" t="str">
            <v>MÊS</v>
          </cell>
          <cell r="D7">
            <v>4.0625</v>
          </cell>
          <cell r="E7">
            <v>650</v>
          </cell>
        </row>
        <row r="8">
          <cell r="A8">
            <v>7</v>
          </cell>
          <cell r="B8" t="str">
            <v>Bomba de Teste Hidro 200 kgf/cm²</v>
          </cell>
          <cell r="C8" t="str">
            <v>MÊS</v>
          </cell>
          <cell r="D8">
            <v>1.5625</v>
          </cell>
          <cell r="E8">
            <v>250</v>
          </cell>
        </row>
        <row r="9">
          <cell r="A9">
            <v>8</v>
          </cell>
          <cell r="B9" t="str">
            <v>Caminhão carroceria</v>
          </cell>
          <cell r="C9" t="str">
            <v>H</v>
          </cell>
          <cell r="D9">
            <v>47</v>
          </cell>
          <cell r="E9">
            <v>47</v>
          </cell>
        </row>
        <row r="10">
          <cell r="A10">
            <v>9</v>
          </cell>
          <cell r="B10" t="str">
            <v>Caminhão munck 12t</v>
          </cell>
          <cell r="C10" t="str">
            <v>H</v>
          </cell>
          <cell r="D10">
            <v>50</v>
          </cell>
          <cell r="E10">
            <v>50</v>
          </cell>
        </row>
        <row r="11">
          <cell r="A11">
            <v>10</v>
          </cell>
          <cell r="B11" t="str">
            <v>Caminhão munck 3 t</v>
          </cell>
          <cell r="C11" t="str">
            <v>H</v>
          </cell>
          <cell r="D11">
            <v>47</v>
          </cell>
          <cell r="E11">
            <v>47</v>
          </cell>
        </row>
        <row r="12">
          <cell r="A12">
            <v>11</v>
          </cell>
          <cell r="B12" t="str">
            <v>Carro tipo plataforma - 800 Kg</v>
          </cell>
          <cell r="C12" t="str">
            <v>MÊS</v>
          </cell>
          <cell r="D12">
            <v>3.125</v>
          </cell>
          <cell r="E12">
            <v>500</v>
          </cell>
        </row>
        <row r="13">
          <cell r="A13">
            <v>12</v>
          </cell>
          <cell r="B13" t="str">
            <v>Cavalo mecânico com carreta 28 t</v>
          </cell>
          <cell r="C13" t="str">
            <v>H</v>
          </cell>
          <cell r="D13">
            <v>60</v>
          </cell>
          <cell r="E13">
            <v>60</v>
          </cell>
        </row>
        <row r="14">
          <cell r="A14">
            <v>13</v>
          </cell>
          <cell r="B14" t="str">
            <v>Cavalo mecânico com prancha 75 t</v>
          </cell>
          <cell r="C14" t="str">
            <v>H</v>
          </cell>
          <cell r="D14">
            <v>75</v>
          </cell>
          <cell r="E14">
            <v>75</v>
          </cell>
        </row>
        <row r="15">
          <cell r="A15">
            <v>14</v>
          </cell>
          <cell r="B15" t="str">
            <v>Compressor elétrico 750 CFM</v>
          </cell>
          <cell r="C15" t="str">
            <v>MÊS</v>
          </cell>
          <cell r="D15">
            <v>25</v>
          </cell>
          <cell r="E15">
            <v>4000</v>
          </cell>
        </row>
        <row r="16">
          <cell r="A16">
            <v>15</v>
          </cell>
          <cell r="B16" t="str">
            <v>Conjunto oxi-acetileno</v>
          </cell>
          <cell r="C16" t="str">
            <v>MÊS</v>
          </cell>
          <cell r="D16">
            <v>1.875</v>
          </cell>
          <cell r="E16">
            <v>300</v>
          </cell>
        </row>
        <row r="17">
          <cell r="A17">
            <v>16</v>
          </cell>
          <cell r="B17" t="str">
            <v>Corta tubos - disco</v>
          </cell>
          <cell r="C17" t="str">
            <v>MÊS</v>
          </cell>
          <cell r="D17">
            <v>0.625</v>
          </cell>
          <cell r="E17">
            <v>100</v>
          </cell>
        </row>
        <row r="18">
          <cell r="A18">
            <v>17</v>
          </cell>
          <cell r="B18" t="str">
            <v>CP-Equipamentos de Montagem</v>
          </cell>
          <cell r="C18" t="str">
            <v>HH</v>
          </cell>
          <cell r="D18">
            <v>3.2</v>
          </cell>
          <cell r="E18">
            <v>3.2</v>
          </cell>
        </row>
        <row r="19">
          <cell r="A19">
            <v>18</v>
          </cell>
          <cell r="B19" t="str">
            <v>Diesel (EQ)</v>
          </cell>
          <cell r="C19" t="str">
            <v>L</v>
          </cell>
          <cell r="E19">
            <v>1.25</v>
          </cell>
        </row>
        <row r="20">
          <cell r="A20">
            <v>19</v>
          </cell>
          <cell r="B20" t="str">
            <v>Dobradeira de tubos - Hidráulica 4" a 6"</v>
          </cell>
          <cell r="C20" t="str">
            <v>MÊS</v>
          </cell>
          <cell r="D20">
            <v>4.6875</v>
          </cell>
          <cell r="E20">
            <v>750</v>
          </cell>
        </row>
        <row r="21">
          <cell r="A21">
            <v>20</v>
          </cell>
          <cell r="B21" t="str">
            <v>Dobradeira de tubos - Hidráulica até 3"</v>
          </cell>
          <cell r="C21" t="str">
            <v>MÊS</v>
          </cell>
          <cell r="D21">
            <v>1.25</v>
          </cell>
          <cell r="E21">
            <v>200</v>
          </cell>
        </row>
        <row r="22">
          <cell r="A22">
            <v>21</v>
          </cell>
          <cell r="B22" t="str">
            <v>Empilhadeira</v>
          </cell>
          <cell r="C22" t="str">
            <v>H</v>
          </cell>
          <cell r="D22">
            <v>47</v>
          </cell>
          <cell r="E22">
            <v>47</v>
          </cell>
        </row>
        <row r="23">
          <cell r="A23">
            <v>22</v>
          </cell>
          <cell r="B23" t="str">
            <v>Esmeril de coluna - duplo</v>
          </cell>
          <cell r="C23" t="str">
            <v>MÊS</v>
          </cell>
          <cell r="D23">
            <v>1.25</v>
          </cell>
          <cell r="E23">
            <v>200</v>
          </cell>
        </row>
        <row r="24">
          <cell r="A24">
            <v>23</v>
          </cell>
          <cell r="B24" t="str">
            <v>Estufa recozimento 200 kg</v>
          </cell>
          <cell r="C24" t="str">
            <v>MÊS</v>
          </cell>
          <cell r="D24">
            <v>2.5</v>
          </cell>
          <cell r="E24">
            <v>400</v>
          </cell>
        </row>
        <row r="25">
          <cell r="A25">
            <v>24</v>
          </cell>
          <cell r="B25" t="str">
            <v>Estufa secagem 50 kg</v>
          </cell>
          <cell r="C25" t="str">
            <v>MÊS</v>
          </cell>
          <cell r="D25">
            <v>0.625</v>
          </cell>
          <cell r="E25">
            <v>100</v>
          </cell>
        </row>
        <row r="26">
          <cell r="A26">
            <v>25</v>
          </cell>
          <cell r="B26" t="str">
            <v>Furadeira base magnética c/ mandril</v>
          </cell>
          <cell r="C26" t="str">
            <v>MÊS</v>
          </cell>
          <cell r="D26">
            <v>3.125</v>
          </cell>
          <cell r="E26">
            <v>500</v>
          </cell>
        </row>
        <row r="27">
          <cell r="A27">
            <v>26</v>
          </cell>
          <cell r="B27" t="str">
            <v>Furadeira de coluna</v>
          </cell>
          <cell r="C27" t="str">
            <v>MÊS</v>
          </cell>
          <cell r="D27">
            <v>1.875</v>
          </cell>
          <cell r="E27">
            <v>300</v>
          </cell>
        </row>
        <row r="28">
          <cell r="A28">
            <v>27</v>
          </cell>
          <cell r="B28" t="str">
            <v>Grupo gerador 60 KVA</v>
          </cell>
          <cell r="C28" t="str">
            <v>MÊS</v>
          </cell>
          <cell r="D28">
            <v>12.5</v>
          </cell>
          <cell r="E28">
            <v>2000</v>
          </cell>
        </row>
        <row r="29">
          <cell r="A29">
            <v>28</v>
          </cell>
          <cell r="B29" t="str">
            <v>Guindaste Telescópico 18 t</v>
          </cell>
          <cell r="C29" t="str">
            <v>H</v>
          </cell>
          <cell r="D29">
            <v>60</v>
          </cell>
          <cell r="E29">
            <v>60</v>
          </cell>
        </row>
        <row r="30">
          <cell r="A30">
            <v>29</v>
          </cell>
          <cell r="B30" t="str">
            <v>Guindaste Telescópico 25 t</v>
          </cell>
          <cell r="C30" t="str">
            <v>H</v>
          </cell>
          <cell r="D30">
            <v>85</v>
          </cell>
          <cell r="E30">
            <v>85</v>
          </cell>
        </row>
        <row r="31">
          <cell r="A31">
            <v>30</v>
          </cell>
          <cell r="B31" t="str">
            <v>Guindaste Telescópico 50 t</v>
          </cell>
          <cell r="C31" t="str">
            <v>H</v>
          </cell>
          <cell r="D31">
            <v>130</v>
          </cell>
          <cell r="E31">
            <v>130</v>
          </cell>
        </row>
        <row r="32">
          <cell r="A32">
            <v>31</v>
          </cell>
          <cell r="B32" t="str">
            <v>Guindaste Telescópico 60 t</v>
          </cell>
          <cell r="C32" t="str">
            <v>H</v>
          </cell>
          <cell r="D32">
            <v>140</v>
          </cell>
          <cell r="E32">
            <v>140</v>
          </cell>
        </row>
        <row r="33">
          <cell r="A33">
            <v>32</v>
          </cell>
          <cell r="B33" t="str">
            <v>Guindaste Telescópico 90 t</v>
          </cell>
          <cell r="C33" t="str">
            <v>H</v>
          </cell>
          <cell r="D33">
            <v>260</v>
          </cell>
          <cell r="E33">
            <v>260</v>
          </cell>
        </row>
        <row r="34">
          <cell r="A34">
            <v>33</v>
          </cell>
          <cell r="B34" t="str">
            <v>Guindaste Treliçado 160 t</v>
          </cell>
          <cell r="C34" t="str">
            <v>H</v>
          </cell>
          <cell r="D34">
            <v>360</v>
          </cell>
          <cell r="E34">
            <v>360</v>
          </cell>
        </row>
        <row r="35">
          <cell r="A35">
            <v>34</v>
          </cell>
          <cell r="B35" t="str">
            <v>Lubrificante / Lavagem (EQ)</v>
          </cell>
          <cell r="C35" t="str">
            <v>L</v>
          </cell>
          <cell r="E35">
            <v>2</v>
          </cell>
        </row>
        <row r="36">
          <cell r="A36">
            <v>35</v>
          </cell>
          <cell r="B36" t="str">
            <v>Macaco hidráulico 10/5 t</v>
          </cell>
          <cell r="C36" t="str">
            <v>MÊS</v>
          </cell>
          <cell r="D36">
            <v>1.25</v>
          </cell>
          <cell r="E36">
            <v>200</v>
          </cell>
        </row>
        <row r="37">
          <cell r="A37">
            <v>36</v>
          </cell>
          <cell r="B37" t="str">
            <v>Macaco hidráulico 200/100 t</v>
          </cell>
          <cell r="C37" t="str">
            <v>MÊS</v>
          </cell>
          <cell r="D37">
            <v>6.25</v>
          </cell>
          <cell r="E37">
            <v>1000</v>
          </cell>
        </row>
        <row r="38">
          <cell r="A38">
            <v>37</v>
          </cell>
          <cell r="B38" t="str">
            <v>Macaco hidráulico 25 t</v>
          </cell>
          <cell r="C38" t="str">
            <v>MÊS</v>
          </cell>
          <cell r="D38">
            <v>1.875</v>
          </cell>
          <cell r="E38">
            <v>300</v>
          </cell>
        </row>
        <row r="39">
          <cell r="A39">
            <v>38</v>
          </cell>
          <cell r="B39" t="str">
            <v>Macaco hidráulico 50 t</v>
          </cell>
          <cell r="C39" t="str">
            <v>MÊS</v>
          </cell>
          <cell r="D39">
            <v>3.125</v>
          </cell>
          <cell r="E39">
            <v>500</v>
          </cell>
        </row>
        <row r="40">
          <cell r="A40">
            <v>39</v>
          </cell>
          <cell r="B40" t="str">
            <v>Máquina de solda</v>
          </cell>
          <cell r="C40" t="str">
            <v>MÊS</v>
          </cell>
          <cell r="D40">
            <v>0.8125</v>
          </cell>
          <cell r="E40">
            <v>130</v>
          </cell>
        </row>
        <row r="41">
          <cell r="A41">
            <v>40</v>
          </cell>
          <cell r="B41" t="str">
            <v>Máquina de solda TIG</v>
          </cell>
          <cell r="C41" t="str">
            <v>MÊS</v>
          </cell>
          <cell r="D41">
            <v>1.875</v>
          </cell>
          <cell r="E41">
            <v>300</v>
          </cell>
        </row>
        <row r="42">
          <cell r="A42">
            <v>41</v>
          </cell>
          <cell r="B42" t="str">
            <v>Nível otico</v>
          </cell>
          <cell r="C42" t="str">
            <v>MÊS</v>
          </cell>
          <cell r="D42">
            <v>0.9375</v>
          </cell>
          <cell r="E42">
            <v>150</v>
          </cell>
        </row>
        <row r="43">
          <cell r="A43">
            <v>42</v>
          </cell>
          <cell r="B43" t="str">
            <v>Painel de distrib/alimentação</v>
          </cell>
          <cell r="C43" t="str">
            <v>MÊS</v>
          </cell>
          <cell r="D43">
            <v>0.625</v>
          </cell>
          <cell r="E43">
            <v>100</v>
          </cell>
        </row>
        <row r="44">
          <cell r="A44">
            <v>43</v>
          </cell>
          <cell r="B44" t="str">
            <v>Relógio comparador</v>
          </cell>
          <cell r="C44" t="str">
            <v>MÊS</v>
          </cell>
          <cell r="D44">
            <v>0.75</v>
          </cell>
          <cell r="E44">
            <v>120</v>
          </cell>
        </row>
        <row r="45">
          <cell r="A45">
            <v>44</v>
          </cell>
          <cell r="B45" t="str">
            <v>Retífica elétrica - Ridgid</v>
          </cell>
          <cell r="C45" t="str">
            <v>MÊS</v>
          </cell>
          <cell r="D45">
            <v>5</v>
          </cell>
          <cell r="E45">
            <v>800</v>
          </cell>
        </row>
        <row r="46">
          <cell r="A46">
            <v>45</v>
          </cell>
          <cell r="B46" t="str">
            <v>Rosqueadeira elétrica Ridgid</v>
          </cell>
          <cell r="C46" t="str">
            <v>H</v>
          </cell>
          <cell r="E46">
            <v>1000</v>
          </cell>
        </row>
        <row r="47">
          <cell r="A47">
            <v>46</v>
          </cell>
          <cell r="B47" t="str">
            <v>Serra elétrica - franho</v>
          </cell>
          <cell r="C47" t="str">
            <v>MÊS</v>
          </cell>
          <cell r="D47">
            <v>0.9375</v>
          </cell>
          <cell r="E47">
            <v>150</v>
          </cell>
        </row>
        <row r="48">
          <cell r="A48">
            <v>47</v>
          </cell>
          <cell r="B48" t="str">
            <v>Serra elétrica - policorte</v>
          </cell>
          <cell r="C48" t="str">
            <v>MÊS</v>
          </cell>
          <cell r="D48">
            <v>0.9375</v>
          </cell>
          <cell r="E48">
            <v>150</v>
          </cell>
        </row>
        <row r="49">
          <cell r="A49">
            <v>48</v>
          </cell>
          <cell r="B49" t="str">
            <v>Talha de corrente 10 t</v>
          </cell>
          <cell r="C49" t="str">
            <v>MÊS</v>
          </cell>
          <cell r="D49">
            <v>3.125</v>
          </cell>
          <cell r="E49">
            <v>500</v>
          </cell>
        </row>
        <row r="50">
          <cell r="A50">
            <v>49</v>
          </cell>
          <cell r="B50" t="str">
            <v>Talha elétrica - 1 t</v>
          </cell>
          <cell r="C50" t="str">
            <v>MÊS</v>
          </cell>
          <cell r="D50">
            <v>7.5</v>
          </cell>
          <cell r="E50">
            <v>1200</v>
          </cell>
        </row>
        <row r="51">
          <cell r="A51">
            <v>50</v>
          </cell>
          <cell r="B51" t="str">
            <v>Talha manual 1 a 5 t</v>
          </cell>
          <cell r="C51" t="str">
            <v>MÊS</v>
          </cell>
          <cell r="D51">
            <v>0.75</v>
          </cell>
          <cell r="E51">
            <v>120</v>
          </cell>
        </row>
        <row r="52">
          <cell r="A52">
            <v>51</v>
          </cell>
          <cell r="B52" t="str">
            <v>Tartaruga 100 t</v>
          </cell>
          <cell r="C52" t="str">
            <v>MÊS</v>
          </cell>
          <cell r="D52">
            <v>2.25</v>
          </cell>
          <cell r="E52">
            <v>360</v>
          </cell>
        </row>
        <row r="53">
          <cell r="A53">
            <v>52</v>
          </cell>
          <cell r="B53" t="str">
            <v>Tartaruga 50 t</v>
          </cell>
          <cell r="C53" t="str">
            <v>MÊS</v>
          </cell>
          <cell r="D53">
            <v>0.9375</v>
          </cell>
          <cell r="E53">
            <v>150</v>
          </cell>
        </row>
        <row r="54">
          <cell r="A54">
            <v>53</v>
          </cell>
          <cell r="B54" t="str">
            <v>Teodolito</v>
          </cell>
          <cell r="C54" t="str">
            <v>MÊS</v>
          </cell>
          <cell r="D54">
            <v>3.75</v>
          </cell>
          <cell r="E54">
            <v>600</v>
          </cell>
        </row>
        <row r="55">
          <cell r="A55">
            <v>54</v>
          </cell>
          <cell r="B55" t="str">
            <v>Tifor 2 t c/ cabo</v>
          </cell>
          <cell r="C55" t="str">
            <v>MÊS</v>
          </cell>
          <cell r="D55">
            <v>1.25</v>
          </cell>
          <cell r="E55">
            <v>200</v>
          </cell>
        </row>
        <row r="56">
          <cell r="A56">
            <v>55</v>
          </cell>
          <cell r="B56" t="str">
            <v>Tifor com freio 3 t c/ cabo</v>
          </cell>
          <cell r="C56" t="str">
            <v>MÊS</v>
          </cell>
          <cell r="D56">
            <v>3.125</v>
          </cell>
          <cell r="E56">
            <v>500</v>
          </cell>
        </row>
        <row r="57">
          <cell r="A57">
            <v>56</v>
          </cell>
          <cell r="B57" t="str">
            <v>Torno Tripê</v>
          </cell>
          <cell r="C57" t="str">
            <v>MÊS</v>
          </cell>
          <cell r="D57">
            <v>6.25</v>
          </cell>
          <cell r="E57">
            <v>1000</v>
          </cell>
        </row>
        <row r="58">
          <cell r="A58">
            <v>57</v>
          </cell>
          <cell r="B58" t="str">
            <v>Torquimetro</v>
          </cell>
          <cell r="C58" t="str">
            <v>MÊS</v>
          </cell>
          <cell r="D58">
            <v>1.5625</v>
          </cell>
          <cell r="E58">
            <v>250</v>
          </cell>
        </row>
      </sheetData>
      <sheetData sheetId="7" refreshError="1"/>
      <sheetData sheetId="8" refreshError="1"/>
      <sheetData sheetId="9" refreshError="1"/>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ço"/>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Dados"/>
      <sheetName val="Descrição"/>
      <sheetName val="001-Terraplenagem"/>
      <sheetName val="002-Drenagem"/>
      <sheetName val="003-Pavimentação"/>
      <sheetName val="Largura Binder 2007"/>
      <sheetName val="Rotativa Binder 2007"/>
      <sheetName val="Rotativa Binder 2008"/>
      <sheetName val="MEMORIAL"/>
      <sheetName val="RESUMO - MO37588"/>
      <sheetName val="anexos"/>
      <sheetName val="a"/>
      <sheetName val="reforma"/>
      <sheetName val="38"/>
      <sheetName val="PL ANALÍTICA ATUAL GLOBAL "/>
      <sheetName val="planilha de quant. e custos a"/>
      <sheetName val="planilha de quant_ e custos a"/>
      <sheetName val="BASE 5E"/>
      <sheetName val="Orçamento e Medição - MO37587"/>
      <sheetName val="MEDICAO"/>
      <sheetName val="orientaçao terraplenagem"/>
      <sheetName val="bm 8"/>
      <sheetName val="Largura_Binder_2007"/>
      <sheetName val="Rotativa_Binder_2007"/>
      <sheetName val="Rotativa_Binder_2008"/>
      <sheetName val="Largura_Binder_20071"/>
      <sheetName val="Rotativa_Binder_20071"/>
      <sheetName val="Rotativa_Binder_20081"/>
      <sheetName val="Largura_Binder_20072"/>
      <sheetName val="Rotativa_Binder_20072"/>
      <sheetName val="Rotativa_Binder_20082"/>
      <sheetName val="Largura_Binder_20073"/>
      <sheetName val="Rotativa_Binder_20073"/>
      <sheetName val="Rotativa_Binder_20083"/>
      <sheetName val="Largura_Binder_20074"/>
      <sheetName val="Rotativa_Binder_20074"/>
      <sheetName val="Rotativa_Binder_20084"/>
      <sheetName val="Largura_Binder_20075"/>
      <sheetName val="Rotativa_Binder_20075"/>
      <sheetName val="Rotativa_Binder_20085"/>
      <sheetName val="Etapa Única"/>
      <sheetName val="planilha de custo"/>
      <sheetName val="Serviços Água"/>
    </sheetNames>
    <sheetDataSet>
      <sheetData sheetId="0">
        <row r="126">
          <cell r="C126" t="str">
            <v>T</v>
          </cell>
          <cell r="D126">
            <v>7.4399999999999994E-2</v>
          </cell>
        </row>
        <row r="127">
          <cell r="C127" t="str">
            <v>P</v>
          </cell>
          <cell r="D127">
            <v>9.4799999999999995E-2</v>
          </cell>
        </row>
        <row r="128">
          <cell r="C128" t="str">
            <v>D</v>
          </cell>
          <cell r="D128">
            <v>7.8299999999999995E-2</v>
          </cell>
        </row>
        <row r="129">
          <cell r="C129" t="str">
            <v>S</v>
          </cell>
          <cell r="D129">
            <v>6.5299999999999997E-2</v>
          </cell>
        </row>
        <row r="130">
          <cell r="C130" t="str">
            <v>C</v>
          </cell>
          <cell r="D130">
            <v>9.3299999999999994E-2</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
      <sheetName val="Vol_ Terrap_"/>
      <sheetName val="RESUMO - MO37588"/>
      <sheetName val="Replan"/>
      <sheetName val="Resumo"/>
      <sheetName val="memorial"/>
      <sheetName val="capa -1"/>
      <sheetName val="Orçamento e Medição - MO37587"/>
      <sheetName val="Plan1"/>
      <sheetName val="Vol__Terrap_"/>
      <sheetName val="Vol__Terrap_1"/>
      <sheetName val="Vol__Terrap_2"/>
      <sheetName val="Vol__Terrap_3"/>
      <sheetName val="Vol__Terrap_4"/>
      <sheetName val="Vol__Terrap_5"/>
      <sheetName val="medicao"/>
      <sheetName val="38"/>
      <sheetName val="ADMI_25.01"/>
      <sheetName val="BASE 5E"/>
      <sheetName val="Rede de Distribuição de Água"/>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Bm 8"/>
      <sheetName val="Bm 8"/>
      <sheetName val="Rede 8"/>
      <sheetName val="ValueList_Helper"/>
    </sheetNames>
    <sheetDataSet>
      <sheetData sheetId="0"/>
      <sheetData sheetId="1"/>
      <sheetData sheetId="2"/>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omposições"/>
      <sheetName val="fornecedores"/>
      <sheetName val="MAT"/>
      <sheetName val="Cronograma"/>
      <sheetName val="Listagem"/>
      <sheetName val="Plan1"/>
      <sheetName val="a.2- resumo"/>
      <sheetName val="16-equip."/>
      <sheetName val="17-moi"/>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2.7"/>
      <sheetName val="Plan1"/>
      <sheetName val="Plan2"/>
      <sheetName val="Plan3"/>
      <sheetName val="Plan 2_7"/>
      <sheetName val="reforma"/>
      <sheetName val="Planilha Original"/>
      <sheetName val="a.2- resumo"/>
      <sheetName val="16-equip."/>
      <sheetName val="17-moi"/>
      <sheetName val="planilha"/>
    </sheetNames>
    <sheetDataSet>
      <sheetData sheetId="0">
        <row r="4">
          <cell r="A4" t="str">
            <v>DESCRIÇÃO</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sheetName val="MATERIAL"/>
      <sheetName val="COMPOSIÇÃO"/>
      <sheetName val="CAPA -1"/>
      <sheetName val="Replan"/>
      <sheetName val="Planilha de Custo"/>
      <sheetName val="Anexos"/>
      <sheetName val="MEDICAO"/>
      <sheetName val="BASE 5E"/>
      <sheetName val="PLANILHA"/>
      <sheetName val="TOTAL"/>
      <sheetName val="(2,5 X1,5) PRIORIDADE 1 "/>
      <sheetName val="(2,5x1,5) PRIORIDADE 2 "/>
      <sheetName val="(2,5x1,5) PRIORIDADE 3 "/>
      <sheetName val="(1,5x1,5)"/>
      <sheetName val="NVSD8 002 01 - rev1 - ADUTORA D"/>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sheetName val="MATERIAL"/>
      <sheetName val="COMPOSIÇÃO"/>
      <sheetName val="Planilha de Custo"/>
      <sheetName val="PLANILHA"/>
      <sheetName val="ADMI_25.01"/>
      <sheetName val="Replan"/>
      <sheetName val="Resumo"/>
      <sheetName val="NVSD8 002 01 - ADUTORA DE ÁGUA "/>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a"/>
      <sheetName val="Plan1"/>
      <sheetName val="Resumo"/>
      <sheetName val="BAIXO GUANDU ITAIMBE"/>
      <sheetName val="cff1"/>
      <sheetName val="ITAIMBE ITAGUACU"/>
      <sheetName val="cff2"/>
      <sheetName val="BAIXO GUANDU AIMORES"/>
      <sheetName val="Tudo"/>
      <sheetName val="cff3"/>
      <sheetName val="abc ápia"/>
      <sheetName val="abc órgão"/>
      <sheetName val="consolidada"/>
      <sheetName val="MEMO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 Áreas"/>
      <sheetName val="Espec.HB fl. 01"/>
      <sheetName val="Espec.HB fl. 02"/>
      <sheetName val="Espec.HB fl. 03"/>
      <sheetName val="Espec.HB fl. 04"/>
      <sheetName val="QCI"/>
      <sheetName val="FRE "/>
      <sheetName val="Especificação CASAS"/>
      <sheetName val="Espelho-Hab 61 (T+1B)"/>
      <sheetName val="Habitaçao Unit (T+1B)"/>
      <sheetName val="Compo. Anexo I"/>
      <sheetName val="Orç.Hab. Unit (T+1B)"/>
      <sheetName val="Orç.Hab. Total (T+1B)"/>
      <sheetName val="Espelho-Admini (T+1B)"/>
      <sheetName val="Admin Local (T+1B)"/>
      <sheetName val="Espelho-Infra"/>
      <sheetName val="Orç. Infra estrutura"/>
      <sheetName val="Mem Infra Manacá"/>
      <sheetName val="Composição BDI 01"/>
      <sheetName val="Cronog-hab"/>
      <sheetName val="Cronog-infra estrutura"/>
      <sheetName val="Cronog-Global"/>
      <sheetName val="RAE-CASA 01"/>
      <sheetName val="PLS-CASA"/>
      <sheetName val="PLS-INFRA"/>
      <sheetName val="Medição-GLOBAL-PAR"/>
      <sheetName val="RAE-CASA 02"/>
      <sheetName val="RAE-EQ-INFRA"/>
      <sheetName val="RAE-FOTOS"/>
      <sheetName val="memorial"/>
      <sheetName val="refor out. 2001 - bdi=20% ajust"/>
      <sheetName val="reforma"/>
      <sheetName val="a"/>
      <sheetName val="Etapa Única"/>
      <sheetName val="1. MÃO DE OBRA INDIRETA QMSSRS"/>
      <sheetName val="TPU-MARÇO_2002"/>
    </sheetNames>
    <sheetDataSet>
      <sheetData sheetId="0" refreshError="1"/>
      <sheetData sheetId="1" refreshError="1"/>
      <sheetData sheetId="2" refreshError="1"/>
      <sheetData sheetId="3" refreshError="1"/>
      <sheetData sheetId="4" refreshError="1"/>
      <sheetData sheetId="5" refreshError="1"/>
      <sheetData sheetId="6" refreshError="1">
        <row r="248">
          <cell r="AM248" t="str">
            <v xml:space="preserve">RM (Região Metropolitana) de SP, RJ e DF </v>
          </cell>
        </row>
        <row r="249">
          <cell r="AM249" t="str">
            <v>Demais RM, RIDE/DF e municípios com mais de 500 mil habitantes</v>
          </cell>
        </row>
        <row r="250">
          <cell r="AM250" t="str">
            <v>Demais municípios.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
      <sheetName val="Curva S - Fisico"/>
      <sheetName val="Curva S - Financeira"/>
      <sheetName val="Gauss Civil"/>
    </sheetNames>
    <sheetDataSet>
      <sheetData sheetId="0"/>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MATERIAIS"/>
      <sheetName val="TABELA"/>
      <sheetName val="SERVIÇOS"/>
      <sheetName val="ESPELHO  "/>
      <sheetName val="Módulo1"/>
      <sheetName val="PLANILHA DE QUANT. E CUSTOS A"/>
      <sheetName val="Replan"/>
      <sheetName val="Rede de Distribuição de Água"/>
      <sheetName val="Resumo"/>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 val="planilha de quant. e custos a"/>
      <sheetName val="planilha de quant_ e custos a"/>
      <sheetName val="Etapa Única"/>
      <sheetName val="cálculo de áreas"/>
      <sheetName val="contrato"/>
      <sheetName val="Drenagem"/>
      <sheetName val="memorial"/>
      <sheetName val="38"/>
    </sheetNames>
    <sheetDataSet>
      <sheetData sheetId="0"/>
      <sheetData sheetId="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EAP"/>
      <sheetName val="CURVA GERAL"/>
      <sheetName val="CURVA 40%"/>
      <sheetName val="CURVA 50% "/>
      <sheetName val="CURVA  60%"/>
      <sheetName val="CURVAS - S"/>
      <sheetName val="Pick List"/>
      <sheetName val="Índice"/>
      <sheetName val="Cron Eco Fin"/>
      <sheetName val="Apoio Fixo"/>
      <sheetName val="Apoio Variável"/>
      <sheetName val="RESUMO Hh"/>
      <sheetName val="BINS"/>
      <sheetName val="EQUIP"/>
      <sheetName val="Espelho Histograma MO"/>
      <sheetName val="Links"/>
      <sheetName val="Relatório Visita Técnica"/>
      <sheetName val="Tabela Reajustes"/>
      <sheetName val="Anexo III BDI"/>
      <sheetName val="Histograma - 03 turnos"/>
      <sheetName val="Tabela Nivel Salarial ATUALIZAD"/>
      <sheetName val="Histograma MO "/>
      <sheetName val="Formação de Preços"/>
      <sheetName val="PLANILHA DE CUSTOS"/>
      <sheetName val="2. Encargos Sociais"/>
      <sheetName val="3.1 Ferram. &amp; Equip. Especiais"/>
      <sheetName val="3.2 EPI's Especiais"/>
      <sheetName val="KM's Entre Aracruz e ........"/>
      <sheetName val="4.1 Transportes Operacional"/>
      <sheetName val="4.2 Ferramental Individual"/>
      <sheetName val="4.3 Material de Consumo "/>
      <sheetName val="4.4  Gases Industriais"/>
      <sheetName val="4.5 Despesas Viagem - APV's"/>
      <sheetName val="4.6 Custo Operac. MOI"/>
      <sheetName val="4.7 - Materiais Elétricos"/>
      <sheetName val="5.1 Equip. Elevevação e Carga"/>
      <sheetName val="6.2 Valores Unitários Exames"/>
      <sheetName val="6.3 Seguro de Vida"/>
      <sheetName val="6.4  Assist.Médica &amp; Odontogica"/>
      <sheetName val="6.5 Cursos &amp;Treinamento"/>
      <sheetName val="6.6 Transportes Pessoal - Apoio"/>
      <sheetName val="6.7  Refeições  - Alimentação"/>
      <sheetName val="6.8 Hospedagem"/>
      <sheetName val="6.9 EPI's &amp; Uniform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ndice do Orçamento"/>
      <sheetName val="A.2- RESUMO"/>
      <sheetName val="1-MOD"/>
      <sheetName val="anexo 3 mod"/>
      <sheetName val="13-MAT-FERR"/>
      <sheetName val="14-MAT.SEG "/>
      <sheetName val="15-DIVERSOS"/>
      <sheetName val="16-EQUIP."/>
      <sheetName val="anexo 7 eq"/>
      <sheetName val="17-MOI"/>
      <sheetName val="anexo 4 moi"/>
      <sheetName val="18-CANTEIRO "/>
      <sheetName val="19-TRANSP.PESSOAL"/>
      <sheetName val="20-MOB-DESMOB "/>
      <sheetName val="21-REFEICAO"/>
      <sheetName val="22-VARIOS"/>
      <sheetName val="23-TERCEIROS"/>
      <sheetName val="A- coef definido Serviços"/>
      <sheetName val="A1-coef definido  Terceiros"/>
      <sheetName val="A1-coef defin. Resumo(Ser+Terc)"/>
      <sheetName val="A.3 - CASH_FLOW (4)"/>
      <sheetName val="CURVA-S"/>
      <sheetName val="anexo 1 cro"/>
      <sheetName val="anexo 1 cro (2)"/>
      <sheetName val="A.3 - CASH_FLOW (2)"/>
      <sheetName val="A.3 - CASH_FLOW"/>
      <sheetName val="A.3 - CASH_FLOW (3)"/>
      <sheetName val="A.3 GRAF-CASH-FLOW"/>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Água"/>
      <sheetName val="QCI - 10-01-06"/>
      <sheetName val="Serviços Esgoto"/>
      <sheetName val="Remanejamento de Famílas"/>
      <sheetName val="Sistema Viário e Drenagem"/>
      <sheetName val="UHB"/>
      <sheetName val="Reflorestamento"/>
      <sheetName val="CEI"/>
      <sheetName val="BAIXO GUANDU ITAIMBE"/>
      <sheetName val="MEMORIAL"/>
      <sheetName val="Repla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0 - RESUMO"/>
      <sheetName val="Relatório Fotográfico "/>
      <sheetName val="11 - FINANCEIRA"/>
      <sheetName val="12 - CORPO"/>
      <sheetName val="CRONOGRAMA"/>
      <sheetName val="Projeto Tampas "/>
    </sheetNames>
    <sheetDataSet>
      <sheetData sheetId="0" refreshError="1"/>
      <sheetData sheetId="1" refreshError="1"/>
      <sheetData sheetId="2">
        <row r="8">
          <cell r="F8" t="str">
            <v>050/2022</v>
          </cell>
        </row>
        <row r="26">
          <cell r="A26" t="str">
            <v>1.2.2</v>
          </cell>
          <cell r="C26" t="str">
            <v>Aluguel Mensal Container Para Refeitorio, Incl. Porta, 2 Janelas, Abert P/ Ar Cond., 2 Pt Iluminação, 2 Tomadas Elét. E 1 Tomada Telef. Isolamento Térmico (Paredes E Teto), Piso Em Comp. Naval Pintado, Cert. Nr18, Incl. Laudo Descontaminação.</v>
          </cell>
        </row>
        <row r="27">
          <cell r="A27" t="str">
            <v>1.2.3</v>
          </cell>
          <cell r="C27" t="str">
            <v>Aluguel Mensal Container Sanitário, Incl Porta, Básc, 2 Ptos Luz, 1 Pto Aterram., 3Vasos, 3Lavatórios, Calha Mictório, 6 Chuveiros (1 Eletrico), Torn.,Registros, Piso Comp. Naval Pintado, Cert Nr18 E Laudo Descontaminação</v>
          </cell>
        </row>
        <row r="28">
          <cell r="A28" t="str">
            <v>1.2.4</v>
          </cell>
          <cell r="C28" t="str">
            <v>Aluguel Mensal Container Para Escritório, Dim. 6.00X2.40M, C/ Banheiro (Vaso+Lavat+Chuveiro E Básc), Incl. Porta, 2 Janelas, Abert P/ Ar Cond., 2 Pt Iluminação, 2 Tom. Elét. E 1 Tom.Telef. Isolam.Térmico(Teto E Paredes), Piso Em Comp. Naval, Cert. Nr18, Incl. Laudo Descontaminação.</v>
          </cell>
        </row>
        <row r="29">
          <cell r="A29" t="str">
            <v>1.2.5</v>
          </cell>
          <cell r="C29" t="str">
            <v>Aluguel mensal container para almoxarifado, incl. porta, 2 janelas, 1 pt iluminação, Isolamento térmico (teto), piso em comp. Naval pintado, cert. NR18, incl. laudo descontaminação.</v>
          </cell>
        </row>
        <row r="30">
          <cell r="A30" t="str">
            <v>1.2.6</v>
          </cell>
          <cell r="C30" t="str">
            <v>Aluguel Mensal Container Para Vestiário, Incl. Porta, Venezianas De Circulação, 1 Pt Iluminação, Isolamento Térmico (Teto), Piso Em Comp. Naval Pintado, Cert. Nr18, Incl. Laudo Descontaminação.</v>
          </cell>
        </row>
      </sheetData>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 RESUMO"/>
      <sheetName val="Relatório Fotográfico "/>
      <sheetName val="11 - FINANCEIRA"/>
      <sheetName val="12 - CORPO"/>
      <sheetName val="CRONOGRAMA"/>
    </sheetNames>
    <sheetDataSet>
      <sheetData sheetId="0"/>
      <sheetData sheetId="1"/>
      <sheetData sheetId="2">
        <row r="24">
          <cell r="O24">
            <v>3347.83</v>
          </cell>
        </row>
        <row r="33">
          <cell r="O33">
            <v>9158.9</v>
          </cell>
        </row>
        <row r="49">
          <cell r="O49">
            <v>3496.7899999999991</v>
          </cell>
        </row>
        <row r="59">
          <cell r="O59">
            <v>159563.01000000007</v>
          </cell>
        </row>
        <row r="144">
          <cell r="O144">
            <v>79661.119999999966</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HISTOGRAMA-M.O"/>
      <sheetName val="Modelo Atual (2)"/>
      <sheetName val="orc_csdareal_eng"/>
      <sheetName val="CNAExRAT"/>
      <sheetName val="HIST MO IND SEMANAS"/>
      <sheetName val="HHdQTD"/>
      <sheetName val="Curva 1 folha"/>
      <sheetName val="Orc_Pad_Edif_Analítico"/>
      <sheetName val="Orc_Compl_Analítico"/>
      <sheetName val="List"/>
      <sheetName val="BD2"/>
      <sheetName val="Compromissado"/>
      <sheetName val="025"/>
      <sheetName val="A_comprometer"/>
      <sheetName val="Realizado"/>
      <sheetName val="Aportes"/>
      <sheetName val="Comprometido_a_Receber"/>
      <sheetName val="Resumo"/>
      <sheetName val="은행"/>
      <sheetName val="VOLUME"/>
      <sheetName val="LISTS"/>
      <sheetName val="Par"/>
      <sheetName val="RG Depots"/>
      <sheetName val="안산기계장치"/>
      <sheetName val="Hoja 1"/>
      <sheetName val="Plants Address"/>
      <sheetName val="AR01"/>
      <sheetName val="Tablas"/>
      <sheetName val="CLASIFICACION DE AI"/>
      <sheetName val="Base da Datos"/>
      <sheetName val="Jun"/>
      <sheetName val="Tables"/>
      <sheetName val="Sheet2"/>
      <sheetName val="Condulete AL - DIVERSOS"/>
      <sheetName val="Painel"/>
      <sheetName val="Informações"/>
      <sheetName val="Qualidade"/>
      <sheetName val="Quantitativo"/>
      <sheetName val="Segurança"/>
      <sheetName val="Cronograma"/>
      <sheetName val="Pilling"/>
      <sheetName val="IEE"/>
      <sheetName val="Curva IEE - C"/>
      <sheetName val="Curva IEE - M"/>
      <sheetName val="Implatanção"/>
      <sheetName val="Inf. Complementares"/>
      <sheetName val="Curva"/>
      <sheetName val="Mapa Chuvas"/>
      <sheetName val="Críticos"/>
      <sheetName val="Rel. Fot."/>
      <sheetName val="Quantitativo Base"/>
      <sheetName val="Cronog Pessoal Civil"/>
      <sheetName val="Cronog Pessoal Montagem"/>
      <sheetName val="Input"/>
      <sheetName val="Area Livre"/>
      <sheetName val="EAP"/>
      <sheetName val="BD"/>
      <sheetName val="Area Deviation"/>
      <sheetName val="Equipment Attributes"/>
      <sheetName val="ProcessSheet"/>
      <sheetName val="Price Summary"/>
      <sheetName val="TAB SALÁRIO"/>
      <sheetName val="BQMPALOC"/>
      <sheetName val="VIZ4"/>
      <sheetName val="VIZ7"/>
      <sheetName val="UZ"/>
      <sheetName val="IMPROD RESUMO"/>
      <sheetName val="HIST_MO_IND_SEMANAS"/>
      <sheetName val="Curva_1_folha"/>
      <sheetName val="HISTOGRAMA-M_O"/>
      <sheetName val="Modelo_Atual_(2)"/>
      <sheetName val="RI"/>
      <sheetName val="Equipment_Attributes"/>
      <sheetName val="Price_Summary"/>
      <sheetName val="IMPROD_RESUMO"/>
      <sheetName val="B"/>
      <sheetName val="Plan1"/>
      <sheetName val="SFM input"/>
      <sheetName val="Look Ups"/>
      <sheetName val="Params"/>
      <sheetName val="Datos"/>
      <sheetName val="DePara"/>
      <sheetName val="BANCO IP"/>
      <sheetName val="Principal"/>
      <sheetName val="APPLICATION 1"/>
      <sheetName val="ESTIMATE 1"/>
      <sheetName val="JOB COST SUMMARY"/>
      <sheetName val="Operational &amp; Dim Data 1"/>
      <sheetName val="SPARE PARTS"/>
      <sheetName val="Design Criteria 1"/>
      <sheetName val="Operational &amp; Dim Data 2"/>
      <sheetName val="Design Criteria 2"/>
      <sheetName val="Operational &amp; Dim Data 3"/>
      <sheetName val="Design Criteria 3"/>
      <sheetName val="Operational &amp; Dim Data 4"/>
      <sheetName val="Design Criteria 4"/>
      <sheetName val="Cost-Misc.Comp."/>
      <sheetName val="Cost-Fab &amp; Assm"/>
      <sheetName val="Shaft&amp;Brgs"/>
      <sheetName val="SCHEDULE"/>
      <sheetName val="DRAG CONV."/>
      <sheetName val="Elec. Costs"/>
      <sheetName val="Cost-TractorComp."/>
      <sheetName val="Cost-Pans"/>
      <sheetName val="Drop Downs"/>
      <sheetName val="Revision LOG"/>
      <sheetName val="APPLICATION_1"/>
      <sheetName val="ESTIMATE_1"/>
      <sheetName val="JOB_COST_SUMMARY"/>
      <sheetName val="Operational_&amp;_Dim_Data_1"/>
      <sheetName val="SPARE_PARTS"/>
      <sheetName val="Design_Criteria_1"/>
      <sheetName val="Operational_&amp;_Dim_Data_2"/>
      <sheetName val="Design_Criteria_2"/>
      <sheetName val="Operational_&amp;_Dim_Data_3"/>
      <sheetName val="Design_Criteria_3"/>
      <sheetName val="Operational_&amp;_Dim_Data_4"/>
      <sheetName val="Design_Criteria_4"/>
      <sheetName val="Cost-Misc_Comp_"/>
      <sheetName val="Cost-Fab_&amp;_Assm"/>
      <sheetName val="DRAG_CONV_"/>
      <sheetName val="Elec__Costs"/>
      <sheetName val="Cost-TractorComp_"/>
      <sheetName val="Drop_Downs"/>
      <sheetName val="Revision_LOG"/>
      <sheetName val="Curva_1_folha1"/>
      <sheetName val="APPLICATION_11"/>
      <sheetName val="ESTIMATE_11"/>
      <sheetName val="JOB_COST_SUMMARY1"/>
      <sheetName val="Operational_&amp;_Dim_Data_11"/>
      <sheetName val="SPARE_PARTS1"/>
      <sheetName val="Design_Criteria_11"/>
      <sheetName val="Operational_&amp;_Dim_Data_21"/>
      <sheetName val="Design_Criteria_21"/>
      <sheetName val="Operational_&amp;_Dim_Data_31"/>
      <sheetName val="Design_Criteria_31"/>
      <sheetName val="Operational_&amp;_Dim_Data_41"/>
      <sheetName val="Design_Criteria_41"/>
      <sheetName val="Cost-Misc_Comp_1"/>
      <sheetName val="Cost-Fab_&amp;_Assm1"/>
      <sheetName val="DRAG_CONV_1"/>
      <sheetName val="Elec__Costs1"/>
      <sheetName val="Cost-TractorComp_1"/>
      <sheetName val="Drop_Downs1"/>
      <sheetName val="Revision_LOG1"/>
      <sheetName val="HIST_MO_IND_SEMANAS1"/>
      <sheetName val="Modelo_Atual_(2)1"/>
      <sheetName val="HISTOGRAMA-M_O1"/>
      <sheetName val="apoio"/>
      <sheetName val="ATIVOS"/>
      <sheetName val="9.2 - CURVA"/>
      <sheetName val="Indexadores"/>
      <sheetName val="estgg"/>
      <sheetName val="Insumos"/>
      <sheetName val="下拉框数据源"/>
      <sheetName val="分类标准"/>
      <sheetName val="Sheet1"/>
      <sheetName val="成本中心与部门的映射"/>
      <sheetName val="8.2 MD"/>
      <sheetName val="BASE"/>
      <sheetName val="Values"/>
      <sheetName val="Drop Down"/>
      <sheetName val="Data Validation"/>
      <sheetName val="Histograma 502"/>
      <sheetName val="Listas"/>
      <sheetName val="DADOS"/>
      <sheetName val="Curva S "/>
      <sheetName val="Total para análise"/>
    </sheetNames>
    <sheetDataSet>
      <sheetData sheetId="0" refreshError="1">
        <row r="11">
          <cell r="F11">
            <v>1</v>
          </cell>
        </row>
        <row r="58">
          <cell r="AG58" t="e">
            <v>#DIV/0!</v>
          </cell>
        </row>
        <row r="60">
          <cell r="AE60" t="e">
            <v>#DIV/0!</v>
          </cell>
          <cell r="AF60" t="e">
            <v>#DIV/0!</v>
          </cell>
          <cell r="AG60" t="e">
            <v>#DIV/0!</v>
          </cell>
        </row>
        <row r="62">
          <cell r="AE62" t="e">
            <v>#DIV/0!</v>
          </cell>
          <cell r="AF62" t="e">
            <v>#DIV/0!</v>
          </cell>
          <cell r="AG62" t="e">
            <v>#DIV/0!</v>
          </cell>
        </row>
        <row r="64">
          <cell r="AE64" t="e">
            <v>#DIV/0!</v>
          </cell>
          <cell r="AF64" t="e">
            <v>#DIV/0!</v>
          </cell>
          <cell r="AG64" t="e">
            <v>#DIV/0!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1">
          <cell r="F11">
            <v>0</v>
          </cell>
        </row>
      </sheetData>
      <sheetData sheetId="36"/>
      <sheetData sheetId="37"/>
      <sheetData sheetId="38">
        <row r="11">
          <cell r="F11">
            <v>0</v>
          </cell>
        </row>
      </sheetData>
      <sheetData sheetId="39">
        <row r="11">
          <cell r="F11">
            <v>0</v>
          </cell>
        </row>
      </sheetData>
      <sheetData sheetId="40"/>
      <sheetData sheetId="41">
        <row r="11">
          <cell r="F11">
            <v>0</v>
          </cell>
        </row>
      </sheetData>
      <sheetData sheetId="42">
        <row r="11">
          <cell r="F11">
            <v>0</v>
          </cell>
        </row>
      </sheetData>
      <sheetData sheetId="43"/>
      <sheetData sheetId="44"/>
      <sheetData sheetId="45">
        <row r="11">
          <cell r="F11">
            <v>0</v>
          </cell>
        </row>
      </sheetData>
      <sheetData sheetId="46"/>
      <sheetData sheetId="47"/>
      <sheetData sheetId="48"/>
      <sheetData sheetId="49"/>
      <sheetData sheetId="50">
        <row r="11">
          <cell r="F11">
            <v>0</v>
          </cell>
        </row>
      </sheetData>
      <sheetData sheetId="51"/>
      <sheetData sheetId="52"/>
      <sheetData sheetId="53">
        <row r="11">
          <cell r="F11">
            <v>0</v>
          </cell>
        </row>
      </sheetData>
      <sheetData sheetId="54"/>
      <sheetData sheetId="55"/>
      <sheetData sheetId="56">
        <row r="11">
          <cell r="F11">
            <v>0</v>
          </cell>
        </row>
      </sheetData>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row r="11">
          <cell r="F11">
            <v>0</v>
          </cell>
        </row>
      </sheetData>
      <sheetData sheetId="72" refreshError="1"/>
      <sheetData sheetId="73"/>
      <sheetData sheetId="74">
        <row r="11">
          <cell r="F11">
            <v>0</v>
          </cell>
        </row>
      </sheetData>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11">
          <cell r="F11">
            <v>1</v>
          </cell>
        </row>
      </sheetData>
      <sheetData sheetId="86">
        <row r="11">
          <cell r="F11">
            <v>1</v>
          </cell>
        </row>
      </sheetData>
      <sheetData sheetId="87">
        <row r="11">
          <cell r="F11">
            <v>1</v>
          </cell>
        </row>
      </sheetData>
      <sheetData sheetId="88">
        <row r="11">
          <cell r="F11">
            <v>1</v>
          </cell>
        </row>
      </sheetData>
      <sheetData sheetId="89">
        <row r="11">
          <cell r="F11">
            <v>1</v>
          </cell>
        </row>
      </sheetData>
      <sheetData sheetId="90">
        <row r="11">
          <cell r="F11">
            <v>1</v>
          </cell>
        </row>
      </sheetData>
      <sheetData sheetId="91">
        <row r="11">
          <cell r="F11">
            <v>1</v>
          </cell>
        </row>
      </sheetData>
      <sheetData sheetId="92">
        <row r="11">
          <cell r="F11">
            <v>1</v>
          </cell>
        </row>
      </sheetData>
      <sheetData sheetId="93">
        <row r="11">
          <cell r="F11">
            <v>1</v>
          </cell>
        </row>
      </sheetData>
      <sheetData sheetId="94">
        <row r="11">
          <cell r="F11">
            <v>1</v>
          </cell>
        </row>
      </sheetData>
      <sheetData sheetId="95">
        <row r="11">
          <cell r="F11">
            <v>1</v>
          </cell>
        </row>
      </sheetData>
      <sheetData sheetId="96">
        <row r="11">
          <cell r="F11">
            <v>1</v>
          </cell>
        </row>
      </sheetData>
      <sheetData sheetId="97">
        <row r="11">
          <cell r="F11">
            <v>1</v>
          </cell>
        </row>
      </sheetData>
      <sheetData sheetId="98">
        <row r="11">
          <cell r="F11">
            <v>1</v>
          </cell>
        </row>
      </sheetData>
      <sheetData sheetId="99">
        <row r="11">
          <cell r="F11">
            <v>1</v>
          </cell>
        </row>
      </sheetData>
      <sheetData sheetId="100">
        <row r="11">
          <cell r="F11">
            <v>1</v>
          </cell>
        </row>
      </sheetData>
      <sheetData sheetId="101">
        <row r="11">
          <cell r="F11">
            <v>1</v>
          </cell>
        </row>
      </sheetData>
      <sheetData sheetId="102">
        <row r="11">
          <cell r="F11">
            <v>1</v>
          </cell>
        </row>
      </sheetData>
      <sheetData sheetId="103">
        <row r="11">
          <cell r="F11">
            <v>1</v>
          </cell>
        </row>
      </sheetData>
      <sheetData sheetId="104">
        <row r="11">
          <cell r="F11">
            <v>1</v>
          </cell>
        </row>
      </sheetData>
      <sheetData sheetId="105">
        <row r="11">
          <cell r="F11">
            <v>1</v>
          </cell>
        </row>
      </sheetData>
      <sheetData sheetId="106">
        <row r="11">
          <cell r="F11">
            <v>1</v>
          </cell>
        </row>
      </sheetData>
      <sheetData sheetId="107">
        <row r="11">
          <cell r="F11">
            <v>1</v>
          </cell>
        </row>
      </sheetData>
      <sheetData sheetId="108">
        <row r="11">
          <cell r="F11">
            <v>1</v>
          </cell>
        </row>
      </sheetData>
      <sheetData sheetId="109">
        <row r="11">
          <cell r="F11">
            <v>1</v>
          </cell>
        </row>
      </sheetData>
      <sheetData sheetId="110">
        <row r="11">
          <cell r="F11">
            <v>1</v>
          </cell>
        </row>
      </sheetData>
      <sheetData sheetId="111">
        <row r="11">
          <cell r="F11">
            <v>1</v>
          </cell>
        </row>
      </sheetData>
      <sheetData sheetId="112">
        <row r="11">
          <cell r="F11">
            <v>1</v>
          </cell>
        </row>
      </sheetData>
      <sheetData sheetId="113">
        <row r="11">
          <cell r="F11">
            <v>1</v>
          </cell>
        </row>
      </sheetData>
      <sheetData sheetId="114">
        <row r="11">
          <cell r="F11">
            <v>1</v>
          </cell>
        </row>
      </sheetData>
      <sheetData sheetId="115">
        <row r="11">
          <cell r="F11">
            <v>1</v>
          </cell>
        </row>
      </sheetData>
      <sheetData sheetId="116">
        <row r="11">
          <cell r="F11">
            <v>1</v>
          </cell>
        </row>
      </sheetData>
      <sheetData sheetId="117">
        <row r="11">
          <cell r="F11">
            <v>1</v>
          </cell>
        </row>
      </sheetData>
      <sheetData sheetId="118">
        <row r="11">
          <cell r="F11">
            <v>1</v>
          </cell>
        </row>
      </sheetData>
      <sheetData sheetId="119">
        <row r="11">
          <cell r="F11">
            <v>1</v>
          </cell>
        </row>
      </sheetData>
      <sheetData sheetId="120">
        <row r="11">
          <cell r="F11">
            <v>1</v>
          </cell>
        </row>
      </sheetData>
      <sheetData sheetId="121">
        <row r="11">
          <cell r="F11">
            <v>1</v>
          </cell>
        </row>
      </sheetData>
      <sheetData sheetId="122">
        <row r="11">
          <cell r="F11">
            <v>1</v>
          </cell>
        </row>
      </sheetData>
      <sheetData sheetId="123">
        <row r="11">
          <cell r="F11">
            <v>1</v>
          </cell>
        </row>
      </sheetData>
      <sheetData sheetId="124">
        <row r="11">
          <cell r="F11">
            <v>1</v>
          </cell>
        </row>
      </sheetData>
      <sheetData sheetId="125">
        <row r="11">
          <cell r="F11">
            <v>1</v>
          </cell>
        </row>
      </sheetData>
      <sheetData sheetId="126">
        <row r="11">
          <cell r="F11">
            <v>1</v>
          </cell>
        </row>
      </sheetData>
      <sheetData sheetId="127">
        <row r="11">
          <cell r="F11">
            <v>1</v>
          </cell>
        </row>
      </sheetData>
      <sheetData sheetId="128">
        <row r="11">
          <cell r="F11">
            <v>1</v>
          </cell>
        </row>
      </sheetData>
      <sheetData sheetId="129">
        <row r="11">
          <cell r="F11">
            <v>1</v>
          </cell>
        </row>
      </sheetData>
      <sheetData sheetId="130">
        <row r="11">
          <cell r="F11">
            <v>1</v>
          </cell>
        </row>
      </sheetData>
      <sheetData sheetId="131">
        <row r="11">
          <cell r="F11">
            <v>1</v>
          </cell>
        </row>
      </sheetData>
      <sheetData sheetId="132">
        <row r="11">
          <cell r="F11">
            <v>1</v>
          </cell>
        </row>
      </sheetData>
      <sheetData sheetId="133">
        <row r="11">
          <cell r="F11">
            <v>1</v>
          </cell>
        </row>
      </sheetData>
      <sheetData sheetId="134">
        <row r="11">
          <cell r="F11">
            <v>1</v>
          </cell>
        </row>
      </sheetData>
      <sheetData sheetId="135">
        <row r="11">
          <cell r="F11">
            <v>1</v>
          </cell>
        </row>
      </sheetData>
      <sheetData sheetId="136">
        <row r="11">
          <cell r="F11">
            <v>1</v>
          </cell>
        </row>
      </sheetData>
      <sheetData sheetId="137">
        <row r="11">
          <cell r="F11">
            <v>1</v>
          </cell>
        </row>
      </sheetData>
      <sheetData sheetId="138">
        <row r="11">
          <cell r="F11">
            <v>1</v>
          </cell>
        </row>
      </sheetData>
      <sheetData sheetId="139">
        <row r="11">
          <cell r="F11">
            <v>1</v>
          </cell>
        </row>
      </sheetData>
      <sheetData sheetId="140">
        <row r="11">
          <cell r="F11">
            <v>1</v>
          </cell>
        </row>
      </sheetData>
      <sheetData sheetId="141"/>
      <sheetData sheetId="142">
        <row r="11">
          <cell r="F11">
            <v>1</v>
          </cell>
        </row>
      </sheetData>
      <sheetData sheetId="143">
        <row r="11">
          <cell r="F11">
            <v>1</v>
          </cell>
        </row>
      </sheetData>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INCCTOT"/>
      <sheetName val="baixo guandu itaimbe"/>
      <sheetName val="Plan1"/>
      <sheetName val="LISTAS"/>
      <sheetName val="Jacaraci"/>
      <sheetName val="Demanda-Total"/>
      <sheetName val="V reservação"/>
      <sheetName val="Pre dimensADUTORA"/>
      <sheetName val="Lista"/>
      <sheetName val="Zona A"/>
      <sheetName val="Zona B"/>
      <sheetName val="EEAB1(3+1)3G"/>
      <sheetName val="Insumos"/>
      <sheetName val="MAT"/>
      <sheetName val="bm 8"/>
      <sheetName val="Drenagem"/>
      <sheetName val="viario"/>
      <sheetName val="01-TAC"/>
      <sheetName val="TAC - CORREÇÃO DA PROPOSTA"/>
      <sheetName val="M.C  - QUANTITATIVO "/>
      <sheetName val="PQP"/>
      <sheetName val="SALDOS"/>
      <sheetName val="TAC_ADUT_DN500"/>
      <sheetName val="blocos ancoragem"/>
      <sheetName val="Dados"/>
      <sheetName val="planilha"/>
      <sheetName val="CRG"/>
      <sheetName val="DIS"/>
      <sheetName val="DOC"/>
      <sheetName val="MES"/>
      <sheetName val="SEM"/>
      <sheetName val="refor out. 2001 - bdi=20% ajust"/>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4"/>
      <sheetName val="50"/>
      <sheetName val="40"/>
      <sheetName val="38"/>
      <sheetName val="financ"/>
      <sheetName val="refor out. 2001 - bdi=20% ajust"/>
      <sheetName val="Plan1"/>
      <sheetName val="LISTAS"/>
      <sheetName val="planilha"/>
      <sheetName val="planilha de quant. e custos a"/>
      <sheetName val="planilha de quant_ e custos a"/>
    </sheetNames>
    <sheetDataSet>
      <sheetData sheetId="0"/>
      <sheetData sheetId="1"/>
      <sheetData sheetId="2"/>
      <sheetData sheetId="3">
        <row r="1">
          <cell r="B1">
            <v>100</v>
          </cell>
        </row>
        <row r="2">
          <cell r="B2">
            <v>37.869999999999997</v>
          </cell>
          <cell r="C2">
            <v>100</v>
          </cell>
        </row>
        <row r="3">
          <cell r="B3">
            <v>17.02</v>
          </cell>
          <cell r="C3">
            <v>66.48</v>
          </cell>
          <cell r="D3">
            <v>100</v>
          </cell>
        </row>
        <row r="4">
          <cell r="B4">
            <v>10.06</v>
          </cell>
          <cell r="C4">
            <v>37.869999999999997</v>
          </cell>
          <cell r="D4">
            <v>80.28</v>
          </cell>
          <cell r="E4">
            <v>100</v>
          </cell>
        </row>
        <row r="5">
          <cell r="B5">
            <v>6.69</v>
          </cell>
          <cell r="C5">
            <v>24.15</v>
          </cell>
          <cell r="D5">
            <v>54.64</v>
          </cell>
          <cell r="E5">
            <v>87.22</v>
          </cell>
          <cell r="F5">
            <v>100</v>
          </cell>
        </row>
        <row r="6">
          <cell r="B6">
            <v>4.7300000000000004</v>
          </cell>
          <cell r="C6">
            <v>17.02</v>
          </cell>
          <cell r="D6">
            <v>37.869999999999997</v>
          </cell>
          <cell r="E6">
            <v>66.48</v>
          </cell>
          <cell r="F6">
            <v>91.03</v>
          </cell>
          <cell r="G6">
            <v>100</v>
          </cell>
        </row>
        <row r="7">
          <cell r="B7">
            <v>3.48</v>
          </cell>
          <cell r="C7">
            <v>12.81</v>
          </cell>
          <cell r="D7">
            <v>27.7</v>
          </cell>
          <cell r="E7">
            <v>49.64</v>
          </cell>
          <cell r="F7">
            <v>74.62</v>
          </cell>
          <cell r="G7">
            <v>93.3</v>
          </cell>
          <cell r="H7">
            <v>100</v>
          </cell>
        </row>
        <row r="8">
          <cell r="B8">
            <v>2.62</v>
          </cell>
          <cell r="C8">
            <v>10.06</v>
          </cell>
          <cell r="D8">
            <v>21.3</v>
          </cell>
          <cell r="E8">
            <v>37.869999999999997</v>
          </cell>
          <cell r="F8">
            <v>59.08</v>
          </cell>
          <cell r="G8">
            <v>80.28</v>
          </cell>
          <cell r="H8">
            <v>94.74</v>
          </cell>
          <cell r="I8">
            <v>100</v>
          </cell>
        </row>
        <row r="9">
          <cell r="B9">
            <v>2.33</v>
          </cell>
          <cell r="C9">
            <v>8.1300000000000008</v>
          </cell>
          <cell r="D9">
            <v>17.02</v>
          </cell>
          <cell r="E9">
            <v>29.8</v>
          </cell>
          <cell r="F9">
            <v>46.92</v>
          </cell>
          <cell r="G9">
            <v>66.48</v>
          </cell>
          <cell r="H9">
            <v>84.3</v>
          </cell>
          <cell r="I9">
            <v>95.7</v>
          </cell>
          <cell r="J9">
            <v>100</v>
          </cell>
        </row>
        <row r="10">
          <cell r="B10">
            <v>2.1</v>
          </cell>
          <cell r="C10">
            <v>6.69</v>
          </cell>
          <cell r="D10">
            <v>14.01</v>
          </cell>
          <cell r="E10">
            <v>24.15</v>
          </cell>
          <cell r="F10">
            <v>37.869999999999997</v>
          </cell>
          <cell r="G10">
            <v>54.64</v>
          </cell>
          <cell r="H10">
            <v>72.23</v>
          </cell>
          <cell r="I10">
            <v>87.22</v>
          </cell>
          <cell r="J10">
            <v>96.37</v>
          </cell>
          <cell r="K10">
            <v>100</v>
          </cell>
        </row>
        <row r="11">
          <cell r="B11">
            <v>1.91</v>
          </cell>
          <cell r="C11">
            <v>5.6</v>
          </cell>
          <cell r="D11">
            <v>11.78</v>
          </cell>
          <cell r="E11">
            <v>20.07</v>
          </cell>
          <cell r="F11">
            <v>31.19</v>
          </cell>
          <cell r="G11">
            <v>45.21</v>
          </cell>
          <cell r="H11">
            <v>61.11</v>
          </cell>
          <cell r="I11">
            <v>76.73</v>
          </cell>
          <cell r="J11">
            <v>89.38</v>
          </cell>
          <cell r="K11">
            <v>96.85</v>
          </cell>
          <cell r="L11">
            <v>100</v>
          </cell>
        </row>
        <row r="12">
          <cell r="B12">
            <v>1.75</v>
          </cell>
          <cell r="C12">
            <v>4.7300000000000004</v>
          </cell>
          <cell r="D12">
            <v>10.06</v>
          </cell>
          <cell r="E12">
            <v>17.02</v>
          </cell>
          <cell r="F12">
            <v>26.19</v>
          </cell>
          <cell r="G12">
            <v>37.869999999999997</v>
          </cell>
          <cell r="H12">
            <v>51.71</v>
          </cell>
          <cell r="I12">
            <v>66.430000000000007</v>
          </cell>
          <cell r="J12">
            <v>80.28</v>
          </cell>
          <cell r="K12">
            <v>91.03</v>
          </cell>
          <cell r="L12">
            <v>97.21</v>
          </cell>
          <cell r="M12">
            <v>100</v>
          </cell>
        </row>
        <row r="13">
          <cell r="B13">
            <v>1.61</v>
          </cell>
          <cell r="C13">
            <v>4.04</v>
          </cell>
          <cell r="D13">
            <v>8.6999999999999993</v>
          </cell>
          <cell r="E13">
            <v>14.67</v>
          </cell>
          <cell r="F13">
            <v>22.37</v>
          </cell>
          <cell r="G13">
            <v>32.17</v>
          </cell>
          <cell r="H13">
            <v>44.05</v>
          </cell>
          <cell r="I13">
            <v>57.37</v>
          </cell>
          <cell r="J13">
            <v>70.92</v>
          </cell>
          <cell r="K13">
            <v>83.1</v>
          </cell>
          <cell r="L13">
            <v>92.3</v>
          </cell>
          <cell r="M13">
            <v>97.43</v>
          </cell>
          <cell r="N13">
            <v>100</v>
          </cell>
        </row>
        <row r="14">
          <cell r="B14">
            <v>1.5</v>
          </cell>
          <cell r="C14">
            <v>3.48</v>
          </cell>
          <cell r="D14">
            <v>7.6</v>
          </cell>
          <cell r="E14">
            <v>12.81</v>
          </cell>
          <cell r="F14">
            <v>19.39</v>
          </cell>
          <cell r="G14">
            <v>27.7</v>
          </cell>
          <cell r="H14">
            <v>37.869999999999997</v>
          </cell>
          <cell r="I14">
            <v>49.64</v>
          </cell>
          <cell r="J14">
            <v>62.26</v>
          </cell>
          <cell r="K14">
            <v>74.62</v>
          </cell>
          <cell r="L14">
            <v>85.37</v>
          </cell>
          <cell r="M14">
            <v>93.3</v>
          </cell>
          <cell r="N14">
            <v>97.61</v>
          </cell>
          <cell r="O14">
            <v>100</v>
          </cell>
        </row>
        <row r="15">
          <cell r="B15">
            <v>1.4</v>
          </cell>
          <cell r="C15">
            <v>3.01</v>
          </cell>
          <cell r="D15">
            <v>6.69</v>
          </cell>
          <cell r="E15">
            <v>11.31</v>
          </cell>
          <cell r="F15">
            <v>17.02</v>
          </cell>
          <cell r="G15">
            <v>24.15</v>
          </cell>
          <cell r="H15">
            <v>32.9</v>
          </cell>
          <cell r="I15">
            <v>43.2</v>
          </cell>
          <cell r="J15">
            <v>54.64</v>
          </cell>
          <cell r="K15">
            <v>66.48</v>
          </cell>
          <cell r="L15">
            <v>77.7</v>
          </cell>
          <cell r="M15">
            <v>87.22</v>
          </cell>
          <cell r="N15">
            <v>94.09</v>
          </cell>
          <cell r="O15">
            <v>97.77</v>
          </cell>
          <cell r="P15">
            <v>100</v>
          </cell>
        </row>
        <row r="16">
          <cell r="B16">
            <v>1.31</v>
          </cell>
          <cell r="C16">
            <v>2.62</v>
          </cell>
          <cell r="D16">
            <v>5.93</v>
          </cell>
          <cell r="E16">
            <v>10.06</v>
          </cell>
          <cell r="F16">
            <v>15.1</v>
          </cell>
          <cell r="G16">
            <v>21.3</v>
          </cell>
          <cell r="H16">
            <v>28.87</v>
          </cell>
          <cell r="I16">
            <v>37.869999999999997</v>
          </cell>
          <cell r="J16">
            <v>48.1</v>
          </cell>
          <cell r="K16">
            <v>59.08</v>
          </cell>
          <cell r="L16">
            <v>70.099999999999994</v>
          </cell>
          <cell r="M16">
            <v>80.28</v>
          </cell>
          <cell r="N16">
            <v>88.73</v>
          </cell>
          <cell r="O16">
            <v>94.74</v>
          </cell>
          <cell r="P16">
            <v>97.91</v>
          </cell>
          <cell r="Q16">
            <v>100</v>
          </cell>
        </row>
        <row r="17">
          <cell r="B17">
            <v>1.23</v>
          </cell>
          <cell r="C17">
            <v>2.4700000000000002</v>
          </cell>
          <cell r="D17">
            <v>5.29</v>
          </cell>
          <cell r="E17">
            <v>9.02</v>
          </cell>
          <cell r="F17">
            <v>13.51</v>
          </cell>
          <cell r="G17">
            <v>18.96</v>
          </cell>
          <cell r="H17">
            <v>25.58</v>
          </cell>
          <cell r="I17">
            <v>33.47</v>
          </cell>
          <cell r="J17">
            <v>42.56</v>
          </cell>
          <cell r="K17">
            <v>52.57</v>
          </cell>
          <cell r="L17">
            <v>63.01</v>
          </cell>
          <cell r="M17">
            <v>73.22</v>
          </cell>
          <cell r="N17">
            <v>82.46</v>
          </cell>
          <cell r="O17">
            <v>89.98</v>
          </cell>
          <cell r="P17">
            <v>95.26</v>
          </cell>
          <cell r="Q17">
            <v>98.03</v>
          </cell>
          <cell r="R17">
            <v>100</v>
          </cell>
        </row>
        <row r="18">
          <cell r="B18">
            <v>1.17</v>
          </cell>
          <cell r="C18">
            <v>2.33</v>
          </cell>
          <cell r="D18">
            <v>4.7300000000000004</v>
          </cell>
          <cell r="E18">
            <v>8.1300000000000008</v>
          </cell>
          <cell r="F18">
            <v>12.17</v>
          </cell>
          <cell r="G18">
            <v>17.02</v>
          </cell>
          <cell r="H18">
            <v>22.86</v>
          </cell>
          <cell r="I18">
            <v>29.8</v>
          </cell>
          <cell r="J18">
            <v>37.869999999999997</v>
          </cell>
          <cell r="K18">
            <v>46.92</v>
          </cell>
          <cell r="L18">
            <v>56.61</v>
          </cell>
          <cell r="M18">
            <v>66.48</v>
          </cell>
          <cell r="N18">
            <v>75.92</v>
          </cell>
          <cell r="O18">
            <v>84.3</v>
          </cell>
          <cell r="P18">
            <v>91.03</v>
          </cell>
          <cell r="Q18">
            <v>95.7</v>
          </cell>
          <cell r="R18">
            <v>98.14</v>
          </cell>
          <cell r="S18">
            <v>100</v>
          </cell>
        </row>
        <row r="19">
          <cell r="B19">
            <v>1.1000000000000001</v>
          </cell>
          <cell r="C19">
            <v>2.21</v>
          </cell>
          <cell r="D19">
            <v>4.26</v>
          </cell>
          <cell r="E19">
            <v>7.36</v>
          </cell>
          <cell r="F19">
            <v>11.04</v>
          </cell>
          <cell r="G19">
            <v>16.39</v>
          </cell>
          <cell r="H19">
            <v>20.58</v>
          </cell>
          <cell r="I19">
            <v>26.74</v>
          </cell>
          <cell r="J19">
            <v>33.92</v>
          </cell>
          <cell r="K19">
            <v>42.05</v>
          </cell>
          <cell r="L19">
            <v>50.94</v>
          </cell>
          <cell r="M19">
            <v>60.26</v>
          </cell>
          <cell r="N19">
            <v>69.53</v>
          </cell>
          <cell r="O19">
            <v>78.25</v>
          </cell>
          <cell r="P19">
            <v>85.87</v>
          </cell>
          <cell r="Q19">
            <v>91.91</v>
          </cell>
          <cell r="R19">
            <v>96.06</v>
          </cell>
          <cell r="S19">
            <v>98.24</v>
          </cell>
          <cell r="T19">
            <v>100</v>
          </cell>
        </row>
        <row r="20">
          <cell r="B20">
            <v>1.05</v>
          </cell>
          <cell r="C20">
            <v>2.1</v>
          </cell>
          <cell r="D20">
            <v>3.84</v>
          </cell>
          <cell r="E20">
            <v>6.69</v>
          </cell>
          <cell r="F20">
            <v>10.06</v>
          </cell>
          <cell r="G20">
            <v>14.01</v>
          </cell>
          <cell r="H20">
            <v>18.66</v>
          </cell>
          <cell r="I20">
            <v>24.15</v>
          </cell>
          <cell r="J20">
            <v>30.56</v>
          </cell>
          <cell r="K20">
            <v>37.869999999999997</v>
          </cell>
          <cell r="L20">
            <v>45.98</v>
          </cell>
          <cell r="M20">
            <v>54.64</v>
          </cell>
          <cell r="N20">
            <v>63.53</v>
          </cell>
          <cell r="O20">
            <v>72.23</v>
          </cell>
          <cell r="P20">
            <v>80.28</v>
          </cell>
          <cell r="Q20">
            <v>87.22</v>
          </cell>
          <cell r="R20">
            <v>92.66</v>
          </cell>
          <cell r="S20">
            <v>96.37</v>
          </cell>
          <cell r="T20">
            <v>98.33</v>
          </cell>
          <cell r="U20">
            <v>100</v>
          </cell>
        </row>
        <row r="21">
          <cell r="B21">
            <v>1</v>
          </cell>
          <cell r="C21">
            <v>2</v>
          </cell>
          <cell r="D21">
            <v>3.48</v>
          </cell>
          <cell r="E21">
            <v>6.11</v>
          </cell>
          <cell r="F21">
            <v>9.2100000000000009</v>
          </cell>
          <cell r="G21">
            <v>12.81</v>
          </cell>
          <cell r="H21">
            <v>17.02</v>
          </cell>
          <cell r="I21">
            <v>21.96</v>
          </cell>
          <cell r="J21">
            <v>27.7</v>
          </cell>
          <cell r="K21">
            <v>34.28</v>
          </cell>
          <cell r="L21">
            <v>41.65</v>
          </cell>
          <cell r="M21">
            <v>49.65</v>
          </cell>
          <cell r="N21">
            <v>58.02</v>
          </cell>
          <cell r="O21">
            <v>66.48</v>
          </cell>
          <cell r="P21">
            <v>74.62</v>
          </cell>
          <cell r="Q21">
            <v>82.05</v>
          </cell>
          <cell r="R21">
            <v>88.38</v>
          </cell>
          <cell r="S21">
            <v>93.3</v>
          </cell>
          <cell r="T21">
            <v>96.63</v>
          </cell>
          <cell r="U21">
            <v>98.41</v>
          </cell>
          <cell r="V21">
            <v>100</v>
          </cell>
        </row>
        <row r="22">
          <cell r="B22">
            <v>0.95</v>
          </cell>
          <cell r="C22">
            <v>1.91</v>
          </cell>
          <cell r="D22">
            <v>3.16</v>
          </cell>
          <cell r="E22">
            <v>5.6</v>
          </cell>
          <cell r="F22">
            <v>8.4700000000000006</v>
          </cell>
          <cell r="G22">
            <v>11.78</v>
          </cell>
          <cell r="H22">
            <v>15.61</v>
          </cell>
          <cell r="I22">
            <v>20.07</v>
          </cell>
          <cell r="J22">
            <v>25.25</v>
          </cell>
          <cell r="K22">
            <v>31.19</v>
          </cell>
          <cell r="L22">
            <v>37.869999999999997</v>
          </cell>
          <cell r="M22">
            <v>45.21</v>
          </cell>
          <cell r="N22">
            <v>53.04</v>
          </cell>
          <cell r="O22">
            <v>61.11</v>
          </cell>
          <cell r="P22">
            <v>69.12</v>
          </cell>
          <cell r="Q22">
            <v>76.73</v>
          </cell>
          <cell r="R22">
            <v>83.6</v>
          </cell>
          <cell r="S22">
            <v>89.38</v>
          </cell>
          <cell r="T22">
            <v>93.85</v>
          </cell>
          <cell r="U22">
            <v>96.85</v>
          </cell>
          <cell r="V22">
            <v>98.48</v>
          </cell>
          <cell r="W22">
            <v>100</v>
          </cell>
        </row>
        <row r="23">
          <cell r="B23">
            <v>0.91</v>
          </cell>
          <cell r="C23">
            <v>1.82</v>
          </cell>
          <cell r="D23">
            <v>2.87</v>
          </cell>
          <cell r="E23">
            <v>5.14</v>
          </cell>
          <cell r="F23">
            <v>7.81</v>
          </cell>
          <cell r="G23">
            <v>10.87</v>
          </cell>
          <cell r="H23">
            <v>14.38</v>
          </cell>
          <cell r="I23">
            <v>18.440000000000001</v>
          </cell>
          <cell r="J23">
            <v>23.14</v>
          </cell>
          <cell r="K23">
            <v>28.51</v>
          </cell>
          <cell r="L23">
            <v>34.590000000000003</v>
          </cell>
          <cell r="M23">
            <v>41.31</v>
          </cell>
          <cell r="N23">
            <v>48.57</v>
          </cell>
          <cell r="O23">
            <v>56.18</v>
          </cell>
          <cell r="P23">
            <v>63.92</v>
          </cell>
          <cell r="Q23">
            <v>71.5</v>
          </cell>
          <cell r="R23">
            <v>78.61</v>
          </cell>
          <cell r="S23">
            <v>84.96</v>
          </cell>
          <cell r="T23">
            <v>90.25</v>
          </cell>
          <cell r="U23">
            <v>94.32</v>
          </cell>
          <cell r="V23">
            <v>97.05</v>
          </cell>
          <cell r="W23">
            <v>98.55</v>
          </cell>
          <cell r="X23">
            <v>100</v>
          </cell>
        </row>
        <row r="24">
          <cell r="B24">
            <v>0.87</v>
          </cell>
          <cell r="C24">
            <v>1.75</v>
          </cell>
          <cell r="D24">
            <v>2.62</v>
          </cell>
          <cell r="E24">
            <v>4.7300000000000004</v>
          </cell>
          <cell r="F24">
            <v>7.22</v>
          </cell>
          <cell r="G24">
            <v>10.06</v>
          </cell>
          <cell r="H24">
            <v>13.3</v>
          </cell>
          <cell r="I24">
            <v>17.02</v>
          </cell>
          <cell r="J24">
            <v>21.3</v>
          </cell>
          <cell r="K24">
            <v>26.19</v>
          </cell>
          <cell r="L24">
            <v>31.72</v>
          </cell>
          <cell r="M24">
            <v>37.869999999999997</v>
          </cell>
          <cell r="N24">
            <v>44.58</v>
          </cell>
          <cell r="O24">
            <v>51.71</v>
          </cell>
          <cell r="P24">
            <v>59.08</v>
          </cell>
          <cell r="Q24">
            <v>66.48</v>
          </cell>
          <cell r="R24">
            <v>73.63</v>
          </cell>
          <cell r="S24">
            <v>80.28</v>
          </cell>
          <cell r="T24">
            <v>86.16</v>
          </cell>
          <cell r="U24">
            <v>91.03</v>
          </cell>
          <cell r="V24">
            <v>94.74</v>
          </cell>
          <cell r="W24">
            <v>97.21</v>
          </cell>
          <cell r="X24">
            <v>98.61</v>
          </cell>
          <cell r="Y24">
            <v>100</v>
          </cell>
        </row>
        <row r="25">
          <cell r="B25">
            <v>0.84</v>
          </cell>
          <cell r="C25">
            <v>1.68</v>
          </cell>
          <cell r="D25">
            <v>2.52</v>
          </cell>
          <cell r="E25">
            <v>4.37</v>
          </cell>
          <cell r="F25">
            <v>6.69</v>
          </cell>
          <cell r="G25">
            <v>9.35</v>
          </cell>
          <cell r="H25">
            <v>12.35</v>
          </cell>
          <cell r="I25">
            <v>15.78</v>
          </cell>
          <cell r="J25">
            <v>19.690000000000001</v>
          </cell>
          <cell r="K25">
            <v>24.15</v>
          </cell>
          <cell r="L25">
            <v>29.21</v>
          </cell>
          <cell r="M25">
            <v>34.85</v>
          </cell>
          <cell r="N25">
            <v>41.03</v>
          </cell>
          <cell r="O25">
            <v>47.67</v>
          </cell>
          <cell r="P25">
            <v>54.64</v>
          </cell>
          <cell r="Q25">
            <v>61.75</v>
          </cell>
          <cell r="R25">
            <v>68.8</v>
          </cell>
          <cell r="S25">
            <v>75.56</v>
          </cell>
          <cell r="T25">
            <v>81.77</v>
          </cell>
          <cell r="U25">
            <v>87.22</v>
          </cell>
          <cell r="V25">
            <v>91.7</v>
          </cell>
          <cell r="W25">
            <v>95.1</v>
          </cell>
          <cell r="X25">
            <v>97.33</v>
          </cell>
          <cell r="Y25">
            <v>98.66</v>
          </cell>
          <cell r="Z25">
            <v>100</v>
          </cell>
        </row>
        <row r="26">
          <cell r="B26">
            <v>0.81</v>
          </cell>
          <cell r="C26">
            <v>1.61</v>
          </cell>
          <cell r="D26">
            <v>2.42</v>
          </cell>
          <cell r="E26">
            <v>4.04</v>
          </cell>
          <cell r="F26">
            <v>6.22</v>
          </cell>
          <cell r="G26">
            <v>8.6999999999999993</v>
          </cell>
          <cell r="H26">
            <v>11.5</v>
          </cell>
          <cell r="I26">
            <v>14.67</v>
          </cell>
          <cell r="J26">
            <v>18.28</v>
          </cell>
          <cell r="K26">
            <v>22.37</v>
          </cell>
          <cell r="L26">
            <v>27</v>
          </cell>
          <cell r="M26">
            <v>32.17</v>
          </cell>
          <cell r="N26">
            <v>37.869999999999997</v>
          </cell>
          <cell r="O26">
            <v>44.05</v>
          </cell>
          <cell r="P26">
            <v>50.59</v>
          </cell>
          <cell r="Q26">
            <v>57.37</v>
          </cell>
          <cell r="R26">
            <v>64.209999999999994</v>
          </cell>
          <cell r="S26">
            <v>70.92</v>
          </cell>
          <cell r="T26">
            <v>77.290000000000006</v>
          </cell>
          <cell r="U26">
            <v>83.1</v>
          </cell>
          <cell r="V26">
            <v>88.16</v>
          </cell>
          <cell r="W26">
            <v>92.3</v>
          </cell>
          <cell r="X26">
            <v>95.42</v>
          </cell>
          <cell r="Y26">
            <v>97.43</v>
          </cell>
          <cell r="Z26">
            <v>98.71</v>
          </cell>
          <cell r="AA26">
            <v>100</v>
          </cell>
        </row>
        <row r="27">
          <cell r="B27">
            <v>0.78</v>
          </cell>
          <cell r="C27">
            <v>1.55</v>
          </cell>
          <cell r="D27">
            <v>2.33</v>
          </cell>
          <cell r="E27">
            <v>3.75</v>
          </cell>
          <cell r="F27">
            <v>5.8</v>
          </cell>
          <cell r="G27">
            <v>8.1300000000000008</v>
          </cell>
          <cell r="H27">
            <v>10.75</v>
          </cell>
          <cell r="I27">
            <v>13.69</v>
          </cell>
          <cell r="J27">
            <v>17.02</v>
          </cell>
          <cell r="K27">
            <v>20.79</v>
          </cell>
          <cell r="L27">
            <v>25.05</v>
          </cell>
          <cell r="M27">
            <v>29.8</v>
          </cell>
          <cell r="N27">
            <v>35.06</v>
          </cell>
          <cell r="O27">
            <v>40.79</v>
          </cell>
          <cell r="P27">
            <v>46.92</v>
          </cell>
          <cell r="Q27">
            <v>53.33</v>
          </cell>
          <cell r="R27">
            <v>59.91</v>
          </cell>
          <cell r="S27">
            <v>66.48</v>
          </cell>
          <cell r="T27">
            <v>72.86</v>
          </cell>
          <cell r="U27">
            <v>78.86</v>
          </cell>
          <cell r="V27">
            <v>84.3</v>
          </cell>
          <cell r="W27">
            <v>89</v>
          </cell>
          <cell r="X27">
            <v>92.83</v>
          </cell>
          <cell r="Y27">
            <v>95.7</v>
          </cell>
          <cell r="Z27">
            <v>97.52</v>
          </cell>
          <cell r="AA27">
            <v>98.76</v>
          </cell>
          <cell r="AB27">
            <v>100</v>
          </cell>
        </row>
        <row r="28">
          <cell r="B28">
            <v>0.75</v>
          </cell>
          <cell r="C28">
            <v>1.5</v>
          </cell>
          <cell r="D28">
            <v>2.25</v>
          </cell>
          <cell r="E28">
            <v>3.48</v>
          </cell>
          <cell r="F28">
            <v>5.41</v>
          </cell>
          <cell r="G28">
            <v>7.6</v>
          </cell>
          <cell r="H28">
            <v>10.06</v>
          </cell>
          <cell r="I28">
            <v>12.81</v>
          </cell>
          <cell r="J28">
            <v>15.91</v>
          </cell>
          <cell r="K28">
            <v>19.39</v>
          </cell>
          <cell r="L28">
            <v>23.32</v>
          </cell>
          <cell r="M28">
            <v>27.7</v>
          </cell>
          <cell r="N28">
            <v>32.56</v>
          </cell>
          <cell r="O28">
            <v>37.869999999999997</v>
          </cell>
          <cell r="P28">
            <v>43.59</v>
          </cell>
          <cell r="Q28">
            <v>49.64</v>
          </cell>
          <cell r="R28">
            <v>55.91</v>
          </cell>
          <cell r="S28">
            <v>62.26</v>
          </cell>
          <cell r="T28">
            <v>68.56</v>
          </cell>
          <cell r="U28">
            <v>74.62</v>
          </cell>
          <cell r="V28">
            <v>80.28</v>
          </cell>
          <cell r="W28">
            <v>85.37</v>
          </cell>
          <cell r="X28">
            <v>89.75</v>
          </cell>
          <cell r="Y28">
            <v>93.3</v>
          </cell>
          <cell r="Z28">
            <v>95.95</v>
          </cell>
          <cell r="AA28">
            <v>97.61</v>
          </cell>
          <cell r="AB28">
            <v>98.81</v>
          </cell>
          <cell r="AC28">
            <v>100</v>
          </cell>
        </row>
        <row r="29">
          <cell r="B29">
            <v>0.72</v>
          </cell>
          <cell r="C29">
            <v>1.45</v>
          </cell>
          <cell r="D29">
            <v>2.17</v>
          </cell>
          <cell r="E29">
            <v>3.23</v>
          </cell>
          <cell r="F29">
            <v>5.0599999999999996</v>
          </cell>
          <cell r="G29">
            <v>7.13</v>
          </cell>
          <cell r="H29">
            <v>9.44</v>
          </cell>
          <cell r="I29">
            <v>12.02</v>
          </cell>
          <cell r="J29">
            <v>14.91</v>
          </cell>
          <cell r="K29">
            <v>18.14</v>
          </cell>
          <cell r="L29">
            <v>21.77</v>
          </cell>
          <cell r="M29">
            <v>25.83</v>
          </cell>
          <cell r="N29">
            <v>30.33</v>
          </cell>
          <cell r="O29">
            <v>35.25</v>
          </cell>
          <cell r="P29">
            <v>40.590000000000003</v>
          </cell>
          <cell r="Q29">
            <v>46.27</v>
          </cell>
          <cell r="R29">
            <v>52.21</v>
          </cell>
          <cell r="S29">
            <v>58.31</v>
          </cell>
          <cell r="T29">
            <v>64.45</v>
          </cell>
          <cell r="U29">
            <v>70.47</v>
          </cell>
          <cell r="V29">
            <v>76.23</v>
          </cell>
          <cell r="W29">
            <v>81.569999999999993</v>
          </cell>
          <cell r="X29">
            <v>86.34</v>
          </cell>
          <cell r="Y29">
            <v>90.42</v>
          </cell>
          <cell r="Z29">
            <v>93.72</v>
          </cell>
          <cell r="AA29">
            <v>96.17</v>
          </cell>
          <cell r="AB29">
            <v>97.69</v>
          </cell>
          <cell r="AC29">
            <v>98.85</v>
          </cell>
          <cell r="AD29">
            <v>100</v>
          </cell>
        </row>
        <row r="30">
          <cell r="B30">
            <v>0.7</v>
          </cell>
          <cell r="C30">
            <v>1.4</v>
          </cell>
          <cell r="D30">
            <v>2.1</v>
          </cell>
          <cell r="E30">
            <v>3.01</v>
          </cell>
          <cell r="F30">
            <v>4.7300000000000004</v>
          </cell>
          <cell r="G30">
            <v>6.69</v>
          </cell>
          <cell r="H30">
            <v>8.8800000000000008</v>
          </cell>
          <cell r="I30">
            <v>11.31</v>
          </cell>
          <cell r="J30">
            <v>14.01</v>
          </cell>
          <cell r="K30">
            <v>17.02</v>
          </cell>
          <cell r="L30">
            <v>20.399999999999999</v>
          </cell>
          <cell r="M30">
            <v>24.15</v>
          </cell>
          <cell r="N30">
            <v>28.32</v>
          </cell>
          <cell r="O30">
            <v>32.9</v>
          </cell>
          <cell r="P30">
            <v>37.869999999999997</v>
          </cell>
          <cell r="Q30">
            <v>43.2</v>
          </cell>
          <cell r="R30">
            <v>48.82</v>
          </cell>
          <cell r="S30">
            <v>54.64</v>
          </cell>
          <cell r="T30">
            <v>60.57</v>
          </cell>
          <cell r="U30">
            <v>66.48</v>
          </cell>
          <cell r="V30">
            <v>72.23</v>
          </cell>
          <cell r="W30">
            <v>77.7</v>
          </cell>
          <cell r="X30">
            <v>82.74</v>
          </cell>
          <cell r="Y30">
            <v>87.22</v>
          </cell>
          <cell r="Z30">
            <v>91.03</v>
          </cell>
          <cell r="AA30">
            <v>94.09</v>
          </cell>
          <cell r="AB30">
            <v>96.37</v>
          </cell>
          <cell r="AC30">
            <v>97.77</v>
          </cell>
          <cell r="AD30">
            <v>98.89</v>
          </cell>
          <cell r="AE30">
            <v>100</v>
          </cell>
        </row>
        <row r="31">
          <cell r="B31">
            <v>0.68</v>
          </cell>
          <cell r="C31">
            <v>1.35</v>
          </cell>
          <cell r="D31">
            <v>2.0299999999999998</v>
          </cell>
          <cell r="E31">
            <v>2.81</v>
          </cell>
          <cell r="F31">
            <v>4.4400000000000004</v>
          </cell>
          <cell r="G31">
            <v>6.3</v>
          </cell>
          <cell r="H31">
            <v>8.3699999999999992</v>
          </cell>
          <cell r="I31">
            <v>10.66</v>
          </cell>
          <cell r="J31">
            <v>13.19</v>
          </cell>
          <cell r="K31">
            <v>16.010000000000002</v>
          </cell>
          <cell r="L31">
            <v>19.16</v>
          </cell>
          <cell r="M31">
            <v>22.65</v>
          </cell>
          <cell r="N31">
            <v>26.52</v>
          </cell>
          <cell r="O31">
            <v>30.78</v>
          </cell>
          <cell r="P31">
            <v>35.42</v>
          </cell>
          <cell r="Q31">
            <v>40.409999999999997</v>
          </cell>
          <cell r="R31">
            <v>45.71</v>
          </cell>
          <cell r="S31">
            <v>51.24</v>
          </cell>
          <cell r="T31">
            <v>56.93</v>
          </cell>
          <cell r="U31">
            <v>62.67</v>
          </cell>
          <cell r="V31">
            <v>68.36</v>
          </cell>
          <cell r="W31">
            <v>73.86</v>
          </cell>
          <cell r="X31">
            <v>79.05</v>
          </cell>
          <cell r="Y31">
            <v>83.8</v>
          </cell>
          <cell r="Z31">
            <v>88.01</v>
          </cell>
          <cell r="AA31">
            <v>91.58</v>
          </cell>
          <cell r="AB31">
            <v>94.43</v>
          </cell>
          <cell r="AC31">
            <v>96.55</v>
          </cell>
          <cell r="AD31">
            <v>97.84</v>
          </cell>
          <cell r="AE31">
            <v>98.92</v>
          </cell>
          <cell r="AF31">
            <v>100</v>
          </cell>
        </row>
        <row r="32">
          <cell r="B32">
            <v>0.66</v>
          </cell>
          <cell r="C32">
            <v>1.31</v>
          </cell>
          <cell r="D32">
            <v>1.97</v>
          </cell>
          <cell r="E32">
            <v>2.62</v>
          </cell>
          <cell r="F32">
            <v>4.17</v>
          </cell>
          <cell r="G32">
            <v>5.93</v>
          </cell>
          <cell r="H32">
            <v>7.9</v>
          </cell>
          <cell r="I32">
            <v>10.06</v>
          </cell>
          <cell r="J32">
            <v>12.45</v>
          </cell>
          <cell r="K32">
            <v>15.1</v>
          </cell>
          <cell r="L32">
            <v>18.04</v>
          </cell>
          <cell r="M32">
            <v>21.3</v>
          </cell>
          <cell r="N32">
            <v>24.9</v>
          </cell>
          <cell r="O32">
            <v>28.87</v>
          </cell>
          <cell r="P32">
            <v>33.200000000000003</v>
          </cell>
          <cell r="Q32">
            <v>37.869999999999997</v>
          </cell>
          <cell r="R32">
            <v>42.86</v>
          </cell>
          <cell r="S32">
            <v>48.1</v>
          </cell>
          <cell r="T32">
            <v>53.54</v>
          </cell>
          <cell r="U32">
            <v>59.08</v>
          </cell>
          <cell r="V32">
            <v>64.64</v>
          </cell>
          <cell r="W32">
            <v>70.099999999999994</v>
          </cell>
          <cell r="X32">
            <v>75.349999999999994</v>
          </cell>
          <cell r="Y32">
            <v>80.28</v>
          </cell>
          <cell r="Z32">
            <v>84.77</v>
          </cell>
          <cell r="AA32">
            <v>88.73</v>
          </cell>
          <cell r="AB32">
            <v>92.07</v>
          </cell>
          <cell r="AC32">
            <v>94.74</v>
          </cell>
          <cell r="AD32">
            <v>96.71</v>
          </cell>
          <cell r="AE32">
            <v>97.91</v>
          </cell>
          <cell r="AF32">
            <v>98.96</v>
          </cell>
          <cell r="AG32">
            <v>100</v>
          </cell>
        </row>
        <row r="33">
          <cell r="B33">
            <v>0.64700000000000002</v>
          </cell>
          <cell r="C33">
            <v>1.27</v>
          </cell>
          <cell r="D33">
            <v>1.91</v>
          </cell>
          <cell r="E33">
            <v>2.54</v>
          </cell>
          <cell r="F33">
            <v>3.92</v>
          </cell>
          <cell r="G33">
            <v>5.6</v>
          </cell>
          <cell r="H33">
            <v>7.46</v>
          </cell>
          <cell r="I33">
            <v>9.52</v>
          </cell>
          <cell r="J33">
            <v>11.78</v>
          </cell>
          <cell r="K33">
            <v>14.27</v>
          </cell>
          <cell r="L33">
            <v>17.02</v>
          </cell>
          <cell r="M33">
            <v>20.07</v>
          </cell>
          <cell r="N33">
            <v>23.44</v>
          </cell>
          <cell r="O33">
            <v>27.15</v>
          </cell>
          <cell r="P33">
            <v>32.19</v>
          </cell>
          <cell r="Q33">
            <v>35.57</v>
          </cell>
          <cell r="R33">
            <v>40.25</v>
          </cell>
          <cell r="S33">
            <v>45.21</v>
          </cell>
          <cell r="T33">
            <v>50.39</v>
          </cell>
          <cell r="U33">
            <v>55.71</v>
          </cell>
          <cell r="V33">
            <v>61.11</v>
          </cell>
          <cell r="W33">
            <v>66.48</v>
          </cell>
          <cell r="X33">
            <v>71.72</v>
          </cell>
          <cell r="Y33">
            <v>76.73</v>
          </cell>
          <cell r="Z33">
            <v>81.41</v>
          </cell>
          <cell r="AA33">
            <v>85.66</v>
          </cell>
          <cell r="AB33">
            <v>89.38</v>
          </cell>
          <cell r="AC33">
            <v>92.52</v>
          </cell>
          <cell r="AD33">
            <v>95.01</v>
          </cell>
          <cell r="AE33">
            <v>96.85</v>
          </cell>
          <cell r="AF33">
            <v>97.97</v>
          </cell>
          <cell r="AG33">
            <v>98.99</v>
          </cell>
          <cell r="AH33">
            <v>100</v>
          </cell>
        </row>
        <row r="34">
          <cell r="B34">
            <v>0.62</v>
          </cell>
          <cell r="C34">
            <v>1.23</v>
          </cell>
          <cell r="D34">
            <v>1.85</v>
          </cell>
          <cell r="E34">
            <v>2.4700000000000002</v>
          </cell>
          <cell r="F34">
            <v>3.69</v>
          </cell>
          <cell r="G34">
            <v>5.29</v>
          </cell>
          <cell r="H34">
            <v>7.06</v>
          </cell>
          <cell r="I34">
            <v>9.02</v>
          </cell>
          <cell r="J34">
            <v>11.16</v>
          </cell>
          <cell r="K34">
            <v>13.51</v>
          </cell>
          <cell r="L34">
            <v>16.100000000000001</v>
          </cell>
          <cell r="M34">
            <v>18.96</v>
          </cell>
          <cell r="N34">
            <v>22.11</v>
          </cell>
          <cell r="O34">
            <v>25.58</v>
          </cell>
          <cell r="P34">
            <v>29.36</v>
          </cell>
          <cell r="Q34">
            <v>33.47</v>
          </cell>
          <cell r="R34">
            <v>37.869999999999997</v>
          </cell>
          <cell r="S34">
            <v>42.56</v>
          </cell>
          <cell r="T34">
            <v>47.47</v>
          </cell>
          <cell r="U34">
            <v>52.57</v>
          </cell>
          <cell r="V34">
            <v>57.77</v>
          </cell>
          <cell r="W34">
            <v>63.01</v>
          </cell>
          <cell r="X34">
            <v>68.19</v>
          </cell>
          <cell r="Y34">
            <v>73.22</v>
          </cell>
          <cell r="Z34">
            <v>78.010000000000005</v>
          </cell>
          <cell r="AA34">
            <v>82.46</v>
          </cell>
          <cell r="AB34">
            <v>86.47</v>
          </cell>
          <cell r="AC34">
            <v>89.98</v>
          </cell>
          <cell r="AD34">
            <v>92.92</v>
          </cell>
          <cell r="AE34">
            <v>95.26</v>
          </cell>
          <cell r="AF34">
            <v>96.98</v>
          </cell>
          <cell r="AG34">
            <v>98.03</v>
          </cell>
          <cell r="AH34">
            <v>99.02</v>
          </cell>
          <cell r="AI34">
            <v>100</v>
          </cell>
        </row>
        <row r="35">
          <cell r="B35">
            <v>0.6</v>
          </cell>
          <cell r="C35">
            <v>1.2</v>
          </cell>
          <cell r="D35">
            <v>1.8</v>
          </cell>
          <cell r="E35">
            <v>2.4</v>
          </cell>
          <cell r="F35">
            <v>3.48</v>
          </cell>
          <cell r="G35">
            <v>5</v>
          </cell>
          <cell r="H35">
            <v>6.69</v>
          </cell>
          <cell r="I35">
            <v>8.5500000000000007</v>
          </cell>
          <cell r="J35">
            <v>10.59</v>
          </cell>
          <cell r="K35">
            <v>12.81</v>
          </cell>
          <cell r="L35">
            <v>15.26</v>
          </cell>
          <cell r="M35">
            <v>17.95</v>
          </cell>
          <cell r="N35">
            <v>20.91</v>
          </cell>
          <cell r="O35">
            <v>24.15</v>
          </cell>
          <cell r="P35">
            <v>27.7</v>
          </cell>
          <cell r="Q35">
            <v>31.55</v>
          </cell>
          <cell r="R35">
            <v>35.700000000000003</v>
          </cell>
          <cell r="S35">
            <v>40.119999999999997</v>
          </cell>
          <cell r="T35">
            <v>44.78</v>
          </cell>
          <cell r="U35">
            <v>49.64</v>
          </cell>
          <cell r="V35">
            <v>54.64</v>
          </cell>
          <cell r="W35">
            <v>59.72</v>
          </cell>
          <cell r="X35">
            <v>64.8</v>
          </cell>
          <cell r="Y35">
            <v>69.790000000000006</v>
          </cell>
          <cell r="Z35">
            <v>74.62</v>
          </cell>
          <cell r="AA35">
            <v>79.19</v>
          </cell>
          <cell r="AB35">
            <v>83.41</v>
          </cell>
          <cell r="AC35">
            <v>87.22</v>
          </cell>
          <cell r="AD35">
            <v>90.53</v>
          </cell>
          <cell r="AE35">
            <v>93.3</v>
          </cell>
          <cell r="AF35">
            <v>95.49</v>
          </cell>
          <cell r="AG35">
            <v>97.1</v>
          </cell>
          <cell r="AH35">
            <v>98.09</v>
          </cell>
          <cell r="AI35">
            <v>99.04</v>
          </cell>
          <cell r="AJ35">
            <v>100</v>
          </cell>
        </row>
        <row r="36">
          <cell r="B36">
            <v>0.57999999999999996</v>
          </cell>
          <cell r="C36">
            <v>1.17</v>
          </cell>
          <cell r="D36">
            <v>1.75</v>
          </cell>
          <cell r="E36">
            <v>2.33</v>
          </cell>
          <cell r="F36">
            <v>3.28</v>
          </cell>
          <cell r="G36">
            <v>4.7300000000000004</v>
          </cell>
          <cell r="H36">
            <v>6.35</v>
          </cell>
          <cell r="I36">
            <v>8.1300000000000008</v>
          </cell>
          <cell r="J36">
            <v>10.06</v>
          </cell>
          <cell r="K36">
            <v>12.17</v>
          </cell>
          <cell r="L36">
            <v>14.49</v>
          </cell>
          <cell r="M36">
            <v>17.02</v>
          </cell>
          <cell r="N36">
            <v>19.809999999999999</v>
          </cell>
          <cell r="O36">
            <v>22.86</v>
          </cell>
          <cell r="P36">
            <v>26.19</v>
          </cell>
          <cell r="Q36">
            <v>29.8</v>
          </cell>
          <cell r="R36">
            <v>33.700000000000003</v>
          </cell>
          <cell r="S36">
            <v>37.869999999999997</v>
          </cell>
          <cell r="T36">
            <v>42.29</v>
          </cell>
          <cell r="U36">
            <v>46.92</v>
          </cell>
          <cell r="V36">
            <v>51.71</v>
          </cell>
          <cell r="W36">
            <v>56.61</v>
          </cell>
          <cell r="X36">
            <v>61.56</v>
          </cell>
          <cell r="Y36">
            <v>66.180000000000007</v>
          </cell>
          <cell r="Z36">
            <v>71.08</v>
          </cell>
          <cell r="AA36">
            <v>75.92</v>
          </cell>
          <cell r="AB36">
            <v>80.28</v>
          </cell>
          <cell r="AC36">
            <v>84.3</v>
          </cell>
          <cell r="AD36">
            <v>87.9</v>
          </cell>
          <cell r="AE36">
            <v>91.03</v>
          </cell>
          <cell r="AF36">
            <v>93.64</v>
          </cell>
          <cell r="AG36">
            <v>95.7</v>
          </cell>
          <cell r="AH36">
            <v>97.21</v>
          </cell>
          <cell r="AI36">
            <v>98.14</v>
          </cell>
          <cell r="AJ36">
            <v>99.07</v>
          </cell>
          <cell r="AK36">
            <v>100</v>
          </cell>
        </row>
        <row r="37">
          <cell r="B37">
            <v>0.56999999999999995</v>
          </cell>
          <cell r="C37">
            <v>1.1299999999999999</v>
          </cell>
          <cell r="D37">
            <v>1.7</v>
          </cell>
          <cell r="E37">
            <v>2.27</v>
          </cell>
          <cell r="F37">
            <v>3.1</v>
          </cell>
          <cell r="G37">
            <v>4.49</v>
          </cell>
          <cell r="H37">
            <v>6.03</v>
          </cell>
          <cell r="I37">
            <v>7.73</v>
          </cell>
          <cell r="J37">
            <v>9.57</v>
          </cell>
          <cell r="K37">
            <v>11.58</v>
          </cell>
          <cell r="L37">
            <v>13.78</v>
          </cell>
          <cell r="M37">
            <v>16.18</v>
          </cell>
          <cell r="N37">
            <v>18.8</v>
          </cell>
          <cell r="O37">
            <v>21.67</v>
          </cell>
          <cell r="P37">
            <v>24.8</v>
          </cell>
          <cell r="Q37">
            <v>28.2</v>
          </cell>
          <cell r="R37">
            <v>31.88</v>
          </cell>
          <cell r="S37">
            <v>35.81</v>
          </cell>
          <cell r="T37">
            <v>39.99</v>
          </cell>
          <cell r="U37">
            <v>44.39</v>
          </cell>
          <cell r="V37">
            <v>48.97</v>
          </cell>
          <cell r="W37">
            <v>53.69</v>
          </cell>
          <cell r="X37">
            <v>58.48</v>
          </cell>
          <cell r="Y37">
            <v>63.23</v>
          </cell>
          <cell r="Z37">
            <v>68.05</v>
          </cell>
          <cell r="AA37">
            <v>72.69</v>
          </cell>
          <cell r="AB37">
            <v>77.13</v>
          </cell>
          <cell r="AC37">
            <v>81.290000000000006</v>
          </cell>
          <cell r="AD37">
            <v>85.11</v>
          </cell>
          <cell r="AE37">
            <v>88.53</v>
          </cell>
          <cell r="AF37">
            <v>91.49</v>
          </cell>
          <cell r="AG37">
            <v>93.95</v>
          </cell>
          <cell r="AH37">
            <v>95.89</v>
          </cell>
          <cell r="AI37">
            <v>97.29</v>
          </cell>
          <cell r="AJ37">
            <v>98.19</v>
          </cell>
          <cell r="AK37">
            <v>99.1</v>
          </cell>
          <cell r="AL37">
            <v>100</v>
          </cell>
        </row>
        <row r="38">
          <cell r="B38">
            <v>0.55000000000000004</v>
          </cell>
          <cell r="C38">
            <v>1.1000000000000001</v>
          </cell>
          <cell r="D38">
            <v>1.66</v>
          </cell>
          <cell r="E38">
            <v>2.21</v>
          </cell>
          <cell r="F38">
            <v>2.93</v>
          </cell>
          <cell r="G38">
            <v>4.26</v>
          </cell>
          <cell r="H38">
            <v>5.74</v>
          </cell>
          <cell r="I38">
            <v>7.36</v>
          </cell>
          <cell r="J38">
            <v>9.1199999999999992</v>
          </cell>
          <cell r="K38">
            <v>11.04</v>
          </cell>
          <cell r="L38">
            <v>13.12</v>
          </cell>
          <cell r="M38">
            <v>15.39</v>
          </cell>
          <cell r="N38">
            <v>17.88</v>
          </cell>
          <cell r="O38">
            <v>20.58</v>
          </cell>
          <cell r="P38">
            <v>23.53</v>
          </cell>
          <cell r="Q38">
            <v>26.74</v>
          </cell>
          <cell r="R38">
            <v>30.2</v>
          </cell>
          <cell r="S38">
            <v>33.92</v>
          </cell>
          <cell r="T38">
            <v>37.869999999999997</v>
          </cell>
          <cell r="U38">
            <v>42.05</v>
          </cell>
          <cell r="V38">
            <v>46.42</v>
          </cell>
          <cell r="W38">
            <v>50.94</v>
          </cell>
          <cell r="X38">
            <v>55.57</v>
          </cell>
          <cell r="Y38">
            <v>60.26</v>
          </cell>
          <cell r="Z38">
            <v>64.930000000000007</v>
          </cell>
          <cell r="AA38">
            <v>69.53</v>
          </cell>
          <cell r="AB38">
            <v>74</v>
          </cell>
          <cell r="AC38">
            <v>78.25</v>
          </cell>
          <cell r="AD38">
            <v>82.23</v>
          </cell>
          <cell r="AE38">
            <v>85.87</v>
          </cell>
          <cell r="AF38">
            <v>89.11</v>
          </cell>
          <cell r="AG38">
            <v>91.91</v>
          </cell>
          <cell r="AH38">
            <v>94.23</v>
          </cell>
          <cell r="AI38">
            <v>96.06</v>
          </cell>
          <cell r="AJ38">
            <v>97.36</v>
          </cell>
          <cell r="AK38">
            <v>98.24</v>
          </cell>
          <cell r="AL38">
            <v>99.12</v>
          </cell>
          <cell r="AM38">
            <v>100</v>
          </cell>
        </row>
        <row r="39">
          <cell r="B39">
            <v>0.54</v>
          </cell>
          <cell r="C39">
            <v>1.08</v>
          </cell>
          <cell r="D39">
            <v>1.61</v>
          </cell>
          <cell r="E39">
            <v>2.15</v>
          </cell>
          <cell r="F39">
            <v>2.77</v>
          </cell>
          <cell r="G39">
            <v>4.04</v>
          </cell>
          <cell r="H39">
            <v>5.46</v>
          </cell>
          <cell r="I39">
            <v>7.02</v>
          </cell>
          <cell r="J39">
            <v>8.6999999999999993</v>
          </cell>
          <cell r="K39">
            <v>10.53</v>
          </cell>
          <cell r="L39">
            <v>12.52</v>
          </cell>
          <cell r="M39">
            <v>14.67</v>
          </cell>
          <cell r="N39">
            <v>17.02</v>
          </cell>
          <cell r="O39">
            <v>19.579999999999998</v>
          </cell>
          <cell r="P39">
            <v>22.37</v>
          </cell>
          <cell r="Q39">
            <v>25.39</v>
          </cell>
          <cell r="R39">
            <v>28.66</v>
          </cell>
          <cell r="S39">
            <v>32.17</v>
          </cell>
          <cell r="T39">
            <v>35.92</v>
          </cell>
          <cell r="U39">
            <v>39.880000000000003</v>
          </cell>
          <cell r="V39">
            <v>44.05</v>
          </cell>
          <cell r="W39">
            <v>48.38</v>
          </cell>
          <cell r="X39">
            <v>52.83</v>
          </cell>
          <cell r="Y39">
            <v>57.37</v>
          </cell>
          <cell r="Z39">
            <v>61.94</v>
          </cell>
          <cell r="AA39">
            <v>66.48</v>
          </cell>
          <cell r="AB39">
            <v>70.92</v>
          </cell>
          <cell r="AC39">
            <v>75.22</v>
          </cell>
          <cell r="AD39">
            <v>79.3</v>
          </cell>
          <cell r="AE39">
            <v>83.1</v>
          </cell>
          <cell r="AF39">
            <v>86.57</v>
          </cell>
          <cell r="AG39">
            <v>89.65</v>
          </cell>
          <cell r="AH39">
            <v>92.3</v>
          </cell>
          <cell r="AI39">
            <v>94.49</v>
          </cell>
          <cell r="AJ39">
            <v>96.22</v>
          </cell>
          <cell r="AK39">
            <v>97.43</v>
          </cell>
          <cell r="AL39">
            <v>98.29</v>
          </cell>
          <cell r="AM39">
            <v>99.14</v>
          </cell>
          <cell r="AN39">
            <v>100</v>
          </cell>
        </row>
        <row r="40">
          <cell r="B40">
            <v>0.52</v>
          </cell>
          <cell r="C40">
            <v>1.05</v>
          </cell>
          <cell r="D40">
            <v>1.57</v>
          </cell>
          <cell r="E40">
            <v>2.1</v>
          </cell>
          <cell r="F40">
            <v>2.62</v>
          </cell>
          <cell r="G40">
            <v>3.84</v>
          </cell>
          <cell r="H40">
            <v>5.2</v>
          </cell>
          <cell r="I40">
            <v>6.69</v>
          </cell>
          <cell r="J40">
            <v>8.31</v>
          </cell>
          <cell r="K40">
            <v>10.06</v>
          </cell>
          <cell r="L40">
            <v>11.95</v>
          </cell>
          <cell r="M40">
            <v>14.01</v>
          </cell>
          <cell r="N40">
            <v>16.239999999999998</v>
          </cell>
          <cell r="O40">
            <v>18.66</v>
          </cell>
          <cell r="P40">
            <v>21.3</v>
          </cell>
          <cell r="Q40">
            <v>24.15</v>
          </cell>
          <cell r="R40">
            <v>27.24</v>
          </cell>
          <cell r="S40">
            <v>30.56</v>
          </cell>
          <cell r="T40">
            <v>34.11</v>
          </cell>
          <cell r="U40">
            <v>37.869999999999997</v>
          </cell>
          <cell r="V40">
            <v>41.84</v>
          </cell>
          <cell r="W40">
            <v>45.98</v>
          </cell>
          <cell r="X40">
            <v>50.26</v>
          </cell>
          <cell r="Y40">
            <v>54.64</v>
          </cell>
          <cell r="Z40">
            <v>59.08</v>
          </cell>
          <cell r="AA40">
            <v>63.53</v>
          </cell>
          <cell r="AB40">
            <v>67.930000000000007</v>
          </cell>
          <cell r="AC40">
            <v>72.23</v>
          </cell>
          <cell r="AD40">
            <v>76.37</v>
          </cell>
          <cell r="AE40">
            <v>80.28</v>
          </cell>
          <cell r="AF40">
            <v>83.91</v>
          </cell>
          <cell r="AG40">
            <v>87.22</v>
          </cell>
          <cell r="AH40">
            <v>90.14</v>
          </cell>
          <cell r="AI40">
            <v>92.66</v>
          </cell>
          <cell r="AJ40">
            <v>94.74</v>
          </cell>
          <cell r="AK40">
            <v>96.37</v>
          </cell>
          <cell r="AL40">
            <v>97.49</v>
          </cell>
          <cell r="AM40">
            <v>98.33</v>
          </cell>
          <cell r="AN40">
            <v>99.16</v>
          </cell>
          <cell r="AO40">
            <v>100</v>
          </cell>
        </row>
        <row r="41">
          <cell r="B41">
            <v>0.51</v>
          </cell>
          <cell r="C41">
            <v>1.02</v>
          </cell>
          <cell r="D41">
            <v>1.54</v>
          </cell>
          <cell r="E41">
            <v>2.0499999999999998</v>
          </cell>
          <cell r="F41">
            <v>2.56</v>
          </cell>
          <cell r="G41">
            <v>3.65</v>
          </cell>
          <cell r="H41">
            <v>4.96</v>
          </cell>
          <cell r="I41">
            <v>6.39</v>
          </cell>
          <cell r="J41">
            <v>7.95</v>
          </cell>
          <cell r="K41">
            <v>9.6199999999999992</v>
          </cell>
          <cell r="L41">
            <v>11.43</v>
          </cell>
          <cell r="M41">
            <v>13.39</v>
          </cell>
          <cell r="N41">
            <v>15.51</v>
          </cell>
          <cell r="O41">
            <v>17.809999999999999</v>
          </cell>
          <cell r="P41">
            <v>20.309999999999999</v>
          </cell>
          <cell r="Q41">
            <v>23.01</v>
          </cell>
          <cell r="R41">
            <v>25.93</v>
          </cell>
          <cell r="S41">
            <v>29.08</v>
          </cell>
          <cell r="T41">
            <v>32.44</v>
          </cell>
          <cell r="U41">
            <v>36.01</v>
          </cell>
          <cell r="V41">
            <v>39.78</v>
          </cell>
          <cell r="W41">
            <v>43.74</v>
          </cell>
          <cell r="X41">
            <v>47.84</v>
          </cell>
          <cell r="Y41">
            <v>52.07</v>
          </cell>
          <cell r="Z41">
            <v>56.37</v>
          </cell>
          <cell r="AA41">
            <v>60.71</v>
          </cell>
          <cell r="AB41">
            <v>65.040000000000006</v>
          </cell>
          <cell r="AC41">
            <v>69.31</v>
          </cell>
          <cell r="AD41">
            <v>73.459999999999994</v>
          </cell>
          <cell r="AE41">
            <v>77.44</v>
          </cell>
          <cell r="AF41">
            <v>81.19</v>
          </cell>
          <cell r="AG41">
            <v>84.67</v>
          </cell>
          <cell r="AH41">
            <v>87.82</v>
          </cell>
          <cell r="AI41">
            <v>90.6</v>
          </cell>
          <cell r="AJ41">
            <v>92.6</v>
          </cell>
          <cell r="AK41">
            <v>94.96</v>
          </cell>
          <cell r="AL41">
            <v>96.5</v>
          </cell>
          <cell r="AM41">
            <v>97.55</v>
          </cell>
          <cell r="AN41">
            <v>98.37</v>
          </cell>
          <cell r="AO41">
            <v>99.18</v>
          </cell>
          <cell r="AP41">
            <v>100</v>
          </cell>
        </row>
        <row r="42">
          <cell r="B42">
            <v>0.5</v>
          </cell>
          <cell r="C42">
            <v>1</v>
          </cell>
          <cell r="D42">
            <v>1.5</v>
          </cell>
          <cell r="E42">
            <v>2</v>
          </cell>
          <cell r="F42">
            <v>2.5</v>
          </cell>
          <cell r="G42">
            <v>3.48</v>
          </cell>
          <cell r="H42">
            <v>4.7300000000000004</v>
          </cell>
          <cell r="I42">
            <v>5.1100000000000003</v>
          </cell>
          <cell r="J42">
            <v>7.6</v>
          </cell>
          <cell r="K42">
            <v>9.2100000000000009</v>
          </cell>
          <cell r="L42">
            <v>10.94</v>
          </cell>
          <cell r="M42">
            <v>12.81</v>
          </cell>
          <cell r="N42">
            <v>14.84</v>
          </cell>
          <cell r="O42">
            <v>17.02</v>
          </cell>
          <cell r="P42">
            <v>19.39</v>
          </cell>
          <cell r="Q42">
            <v>21.96</v>
          </cell>
          <cell r="R42">
            <v>24.73</v>
          </cell>
          <cell r="S42">
            <v>27.7</v>
          </cell>
          <cell r="T42">
            <v>30.89</v>
          </cell>
          <cell r="U42">
            <v>34.28</v>
          </cell>
          <cell r="V42">
            <v>37.869999999999997</v>
          </cell>
          <cell r="W42">
            <v>41.65</v>
          </cell>
          <cell r="X42">
            <v>45.58</v>
          </cell>
          <cell r="Y42">
            <v>49.64</v>
          </cell>
          <cell r="Z42">
            <v>53.8</v>
          </cell>
          <cell r="AA42">
            <v>58.02</v>
          </cell>
          <cell r="AB42">
            <v>62.26</v>
          </cell>
          <cell r="AC42">
            <v>66.48</v>
          </cell>
          <cell r="AD42">
            <v>70.61</v>
          </cell>
          <cell r="AE42">
            <v>74.62</v>
          </cell>
          <cell r="AF42">
            <v>78.45</v>
          </cell>
          <cell r="AG42">
            <v>82.05</v>
          </cell>
          <cell r="AH42">
            <v>85.37</v>
          </cell>
          <cell r="AI42">
            <v>88.38</v>
          </cell>
          <cell r="AJ42">
            <v>91.03</v>
          </cell>
          <cell r="AK42">
            <v>93.3</v>
          </cell>
          <cell r="AL42">
            <v>95.16</v>
          </cell>
          <cell r="AM42">
            <v>96.63</v>
          </cell>
          <cell r="AN42">
            <v>97.61</v>
          </cell>
          <cell r="AO42">
            <v>98.41</v>
          </cell>
          <cell r="AP42">
            <v>99.2</v>
          </cell>
          <cell r="AQ42">
            <v>100</v>
          </cell>
        </row>
        <row r="43">
          <cell r="B43">
            <v>0.49</v>
          </cell>
          <cell r="C43">
            <v>0.98</v>
          </cell>
          <cell r="D43">
            <v>1.46</v>
          </cell>
          <cell r="E43">
            <v>1.95</v>
          </cell>
          <cell r="F43">
            <v>2.44</v>
          </cell>
          <cell r="G43">
            <v>3.31</v>
          </cell>
          <cell r="H43">
            <v>4.5199999999999996</v>
          </cell>
          <cell r="I43">
            <v>5.85</v>
          </cell>
          <cell r="J43">
            <v>7.28</v>
          </cell>
          <cell r="K43">
            <v>8.83</v>
          </cell>
          <cell r="L43">
            <v>10.49</v>
          </cell>
          <cell r="M43">
            <v>12.28</v>
          </cell>
          <cell r="N43">
            <v>14.21</v>
          </cell>
          <cell r="O43">
            <v>16.29</v>
          </cell>
          <cell r="P43">
            <v>18.55</v>
          </cell>
          <cell r="Q43">
            <v>20.98</v>
          </cell>
          <cell r="R43">
            <v>23.61</v>
          </cell>
          <cell r="S43">
            <v>26.43</v>
          </cell>
          <cell r="T43">
            <v>29.46</v>
          </cell>
          <cell r="U43">
            <v>32.68</v>
          </cell>
          <cell r="V43">
            <v>36.1</v>
          </cell>
          <cell r="W43">
            <v>39.69</v>
          </cell>
          <cell r="X43">
            <v>43.46</v>
          </cell>
          <cell r="Y43">
            <v>47.36</v>
          </cell>
          <cell r="Z43">
            <v>51.37</v>
          </cell>
          <cell r="AA43">
            <v>55.46</v>
          </cell>
          <cell r="AB43">
            <v>59.6</v>
          </cell>
          <cell r="AC43">
            <v>63.74</v>
          </cell>
          <cell r="AD43">
            <v>67.83</v>
          </cell>
          <cell r="AE43">
            <v>71.84</v>
          </cell>
          <cell r="AF43">
            <v>75.709999999999994</v>
          </cell>
          <cell r="AG43">
            <v>79.39</v>
          </cell>
          <cell r="AH43">
            <v>82.85</v>
          </cell>
          <cell r="AI43">
            <v>86.03</v>
          </cell>
          <cell r="AJ43">
            <v>88.9</v>
          </cell>
          <cell r="AK43">
            <v>91.42</v>
          </cell>
          <cell r="AL43">
            <v>93.58</v>
          </cell>
          <cell r="AM43">
            <v>95.36</v>
          </cell>
          <cell r="AN43">
            <v>96.75</v>
          </cell>
          <cell r="AO43">
            <v>97.67</v>
          </cell>
          <cell r="AP43">
            <v>98.45</v>
          </cell>
          <cell r="AQ43">
            <v>99.22</v>
          </cell>
          <cell r="AR43">
            <v>100</v>
          </cell>
        </row>
        <row r="44">
          <cell r="B44">
            <v>0.48</v>
          </cell>
          <cell r="C44">
            <v>0.95</v>
          </cell>
          <cell r="D44">
            <v>1.43</v>
          </cell>
          <cell r="E44">
            <v>1.91</v>
          </cell>
          <cell r="F44">
            <v>2.38</v>
          </cell>
          <cell r="G44">
            <v>3.16</v>
          </cell>
          <cell r="H44">
            <v>4.32</v>
          </cell>
          <cell r="I44">
            <v>5.6</v>
          </cell>
          <cell r="J44">
            <v>6.98</v>
          </cell>
          <cell r="K44">
            <v>8.4700000000000006</v>
          </cell>
          <cell r="L44">
            <v>10.06</v>
          </cell>
          <cell r="M44">
            <v>11.78</v>
          </cell>
          <cell r="N44">
            <v>13.62</v>
          </cell>
          <cell r="O44">
            <v>15.61</v>
          </cell>
          <cell r="P44">
            <v>17.760000000000002</v>
          </cell>
          <cell r="Q44">
            <v>20.07</v>
          </cell>
          <cell r="R44">
            <v>22.57</v>
          </cell>
          <cell r="S44">
            <v>25.25</v>
          </cell>
          <cell r="T44">
            <v>28.12</v>
          </cell>
          <cell r="U44">
            <v>31.19</v>
          </cell>
          <cell r="V44">
            <v>34.44</v>
          </cell>
          <cell r="W44">
            <v>37.869999999999997</v>
          </cell>
          <cell r="X44">
            <v>41.47</v>
          </cell>
          <cell r="Y44">
            <v>45.21</v>
          </cell>
          <cell r="Z44">
            <v>49.08</v>
          </cell>
          <cell r="AA44">
            <v>53.04</v>
          </cell>
          <cell r="AB44">
            <v>57.06</v>
          </cell>
          <cell r="AC44">
            <v>61.11</v>
          </cell>
          <cell r="AD44">
            <v>65.14</v>
          </cell>
          <cell r="AE44">
            <v>69.12</v>
          </cell>
          <cell r="AF44">
            <v>73</v>
          </cell>
          <cell r="AG44">
            <v>76.73</v>
          </cell>
          <cell r="AH44">
            <v>80.28</v>
          </cell>
          <cell r="AI44">
            <v>83.6</v>
          </cell>
          <cell r="AJ44">
            <v>86.64</v>
          </cell>
          <cell r="AK44">
            <v>89.38</v>
          </cell>
          <cell r="AL44">
            <v>91.79</v>
          </cell>
          <cell r="AM44">
            <v>93.85</v>
          </cell>
          <cell r="AN44">
            <v>95.53</v>
          </cell>
          <cell r="AO44">
            <v>96.85</v>
          </cell>
          <cell r="AP44">
            <v>97.72</v>
          </cell>
          <cell r="AQ44">
            <v>98.43</v>
          </cell>
          <cell r="AR44">
            <v>99.24</v>
          </cell>
          <cell r="AS44">
            <v>100</v>
          </cell>
        </row>
        <row r="45">
          <cell r="B45">
            <v>0.47</v>
          </cell>
          <cell r="C45">
            <v>0.93</v>
          </cell>
          <cell r="D45">
            <v>1.4</v>
          </cell>
          <cell r="E45">
            <v>1.87</v>
          </cell>
          <cell r="F45">
            <v>2.33</v>
          </cell>
          <cell r="G45">
            <v>3.01</v>
          </cell>
          <cell r="H45">
            <v>4.13</v>
          </cell>
          <cell r="I45">
            <v>5.36</v>
          </cell>
          <cell r="J45">
            <v>6.69</v>
          </cell>
          <cell r="K45">
            <v>8.1300000000000008</v>
          </cell>
          <cell r="L45">
            <v>9.66</v>
          </cell>
          <cell r="M45">
            <v>11.31</v>
          </cell>
          <cell r="N45">
            <v>13.07</v>
          </cell>
          <cell r="O45">
            <v>14.98</v>
          </cell>
          <cell r="P45">
            <v>17.02</v>
          </cell>
          <cell r="Q45">
            <v>19.23</v>
          </cell>
          <cell r="R45">
            <v>21.6</v>
          </cell>
          <cell r="S45">
            <v>24.15</v>
          </cell>
          <cell r="T45">
            <v>26.39</v>
          </cell>
          <cell r="U45">
            <v>29.8</v>
          </cell>
          <cell r="V45">
            <v>32.9</v>
          </cell>
          <cell r="W45">
            <v>36.17</v>
          </cell>
          <cell r="X45">
            <v>39.61</v>
          </cell>
          <cell r="Y45">
            <v>43.2</v>
          </cell>
          <cell r="Z45">
            <v>46.92</v>
          </cell>
          <cell r="AA45">
            <v>50.74</v>
          </cell>
          <cell r="AB45">
            <v>54.64</v>
          </cell>
          <cell r="AC45">
            <v>58.59</v>
          </cell>
          <cell r="AD45">
            <v>62.55</v>
          </cell>
          <cell r="AE45">
            <v>66.48</v>
          </cell>
          <cell r="AF45">
            <v>70.34</v>
          </cell>
          <cell r="AG45">
            <v>74.09</v>
          </cell>
          <cell r="AH45">
            <v>77.7</v>
          </cell>
          <cell r="AI45">
            <v>81.11</v>
          </cell>
          <cell r="AJ45">
            <v>84.3</v>
          </cell>
          <cell r="AK45">
            <v>87.022000000000006</v>
          </cell>
          <cell r="AL45">
            <v>89.84</v>
          </cell>
          <cell r="AM45">
            <v>92.14</v>
          </cell>
          <cell r="AN45">
            <v>94.09</v>
          </cell>
          <cell r="AO45">
            <v>95.7</v>
          </cell>
          <cell r="AP45">
            <v>96.95</v>
          </cell>
          <cell r="AQ45">
            <v>97.77</v>
          </cell>
          <cell r="AR45">
            <v>98.51</v>
          </cell>
          <cell r="AS45">
            <v>99.26</v>
          </cell>
          <cell r="AT45">
            <v>100</v>
          </cell>
        </row>
        <row r="46">
          <cell r="B46">
            <v>0.46</v>
          </cell>
          <cell r="C46">
            <v>0.91</v>
          </cell>
          <cell r="D46">
            <v>1.37</v>
          </cell>
          <cell r="E46">
            <v>1.82</v>
          </cell>
          <cell r="F46">
            <v>2.2799999999999998</v>
          </cell>
          <cell r="G46">
            <v>2.87</v>
          </cell>
          <cell r="H46">
            <v>3.95</v>
          </cell>
          <cell r="I46">
            <v>5.14</v>
          </cell>
          <cell r="J46">
            <v>6.43</v>
          </cell>
          <cell r="K46">
            <v>7.81</v>
          </cell>
          <cell r="L46">
            <v>9.2799999999999994</v>
          </cell>
          <cell r="M46">
            <v>10.87</v>
          </cell>
          <cell r="N46">
            <v>12.56</v>
          </cell>
          <cell r="O46">
            <v>14.38</v>
          </cell>
          <cell r="P46">
            <v>16.34</v>
          </cell>
          <cell r="Q46">
            <v>18.440000000000001</v>
          </cell>
          <cell r="R46">
            <v>20.71</v>
          </cell>
          <cell r="S46">
            <v>23.14</v>
          </cell>
          <cell r="T46">
            <v>25.74</v>
          </cell>
          <cell r="U46">
            <v>28.51</v>
          </cell>
          <cell r="V46">
            <v>31.47</v>
          </cell>
          <cell r="W46">
            <v>34.590000000000003</v>
          </cell>
          <cell r="X46">
            <v>37.869999999999997</v>
          </cell>
          <cell r="Y46">
            <v>41.31</v>
          </cell>
          <cell r="Z46">
            <v>44.88</v>
          </cell>
          <cell r="AA46">
            <v>48.57</v>
          </cell>
          <cell r="AB46">
            <v>52.34</v>
          </cell>
          <cell r="AC46">
            <v>56.18</v>
          </cell>
          <cell r="AD46">
            <v>60.05</v>
          </cell>
          <cell r="AE46">
            <v>63.92</v>
          </cell>
          <cell r="AF46">
            <v>67.739999999999995</v>
          </cell>
          <cell r="AG46">
            <v>71.5</v>
          </cell>
          <cell r="AH46">
            <v>75.13</v>
          </cell>
          <cell r="AI46">
            <v>78.61</v>
          </cell>
          <cell r="AJ46">
            <v>81.900000000000006</v>
          </cell>
          <cell r="AK46">
            <v>84.6</v>
          </cell>
          <cell r="AL46">
            <v>87.75</v>
          </cell>
          <cell r="AM46">
            <v>90.26</v>
          </cell>
          <cell r="AN46">
            <v>92.46</v>
          </cell>
          <cell r="AO46">
            <v>94.32</v>
          </cell>
          <cell r="AP46">
            <v>95.85</v>
          </cell>
          <cell r="AQ46">
            <v>97.05</v>
          </cell>
          <cell r="AR46">
            <v>97.82</v>
          </cell>
          <cell r="AS46">
            <v>98.55</v>
          </cell>
          <cell r="AT46">
            <v>99.27</v>
          </cell>
          <cell r="AU46">
            <v>100</v>
          </cell>
        </row>
        <row r="47">
          <cell r="B47">
            <v>0.45</v>
          </cell>
          <cell r="C47">
            <v>0.89</v>
          </cell>
          <cell r="D47">
            <v>1.34</v>
          </cell>
          <cell r="E47">
            <v>1.79</v>
          </cell>
          <cell r="F47">
            <v>2.23</v>
          </cell>
          <cell r="G47">
            <v>2.74</v>
          </cell>
          <cell r="H47">
            <v>3.79</v>
          </cell>
          <cell r="I47">
            <v>4.93</v>
          </cell>
          <cell r="J47">
            <v>6.17</v>
          </cell>
          <cell r="K47">
            <v>7.5</v>
          </cell>
          <cell r="L47">
            <v>8.93</v>
          </cell>
          <cell r="M47">
            <v>10.45</v>
          </cell>
          <cell r="N47">
            <v>12.18</v>
          </cell>
          <cell r="O47">
            <v>13.83</v>
          </cell>
          <cell r="P47">
            <v>15.7</v>
          </cell>
          <cell r="Q47">
            <v>17.71</v>
          </cell>
          <cell r="R47">
            <v>19.87</v>
          </cell>
          <cell r="S47">
            <v>22.18</v>
          </cell>
          <cell r="T47">
            <v>24.66</v>
          </cell>
          <cell r="U47">
            <v>27.31</v>
          </cell>
          <cell r="V47">
            <v>30.12</v>
          </cell>
          <cell r="W47">
            <v>33.11</v>
          </cell>
          <cell r="X47">
            <v>36.25</v>
          </cell>
          <cell r="Y47">
            <v>39.54</v>
          </cell>
          <cell r="Z47">
            <v>42.97</v>
          </cell>
          <cell r="AA47">
            <v>46.52</v>
          </cell>
          <cell r="AB47">
            <v>50.17</v>
          </cell>
          <cell r="AC47">
            <v>53.896000000000001</v>
          </cell>
          <cell r="AD47">
            <v>57.66</v>
          </cell>
          <cell r="AE47">
            <v>61.45</v>
          </cell>
          <cell r="AF47">
            <v>65.23</v>
          </cell>
          <cell r="AG47">
            <v>68.95</v>
          </cell>
          <cell r="AH47">
            <v>72.59</v>
          </cell>
          <cell r="AI47">
            <v>76.11</v>
          </cell>
          <cell r="AJ47">
            <v>79.47</v>
          </cell>
          <cell r="AK47">
            <v>82.64</v>
          </cell>
          <cell r="AL47">
            <v>85.57</v>
          </cell>
          <cell r="AM47">
            <v>88.26</v>
          </cell>
          <cell r="AN47">
            <v>90.66</v>
          </cell>
          <cell r="AO47">
            <v>92.75</v>
          </cell>
          <cell r="AP47">
            <v>94.54</v>
          </cell>
          <cell r="AQ47">
            <v>95.99</v>
          </cell>
          <cell r="AR47">
            <v>97.13</v>
          </cell>
          <cell r="AS47">
            <v>97.87</v>
          </cell>
          <cell r="AT47">
            <v>98.58</v>
          </cell>
          <cell r="AU47">
            <v>99.29</v>
          </cell>
          <cell r="AV47">
            <v>100</v>
          </cell>
        </row>
        <row r="48">
          <cell r="B48">
            <v>0.44</v>
          </cell>
          <cell r="C48">
            <v>0.87</v>
          </cell>
          <cell r="D48">
            <v>1.31</v>
          </cell>
          <cell r="E48">
            <v>1.75</v>
          </cell>
          <cell r="F48">
            <v>2.19</v>
          </cell>
          <cell r="G48">
            <v>2.62</v>
          </cell>
          <cell r="H48">
            <v>3.63</v>
          </cell>
          <cell r="I48">
            <v>4.7300000000000004</v>
          </cell>
          <cell r="J48">
            <v>5.93</v>
          </cell>
          <cell r="K48">
            <v>7.22</v>
          </cell>
          <cell r="L48">
            <v>8.59</v>
          </cell>
          <cell r="M48">
            <v>10.06</v>
          </cell>
          <cell r="N48">
            <v>11.63</v>
          </cell>
          <cell r="O48">
            <v>13.3</v>
          </cell>
          <cell r="P48">
            <v>15.1</v>
          </cell>
          <cell r="Q48">
            <v>17.02</v>
          </cell>
          <cell r="R48">
            <v>19.079999999999998</v>
          </cell>
          <cell r="S48">
            <v>21.3</v>
          </cell>
          <cell r="T48">
            <v>23.66</v>
          </cell>
          <cell r="U48">
            <v>26.19</v>
          </cell>
          <cell r="V48">
            <v>28.87</v>
          </cell>
          <cell r="W48">
            <v>31.72</v>
          </cell>
          <cell r="X48">
            <v>34.72</v>
          </cell>
          <cell r="Y48">
            <v>37.869999999999997</v>
          </cell>
          <cell r="Z48">
            <v>41.16</v>
          </cell>
          <cell r="AA48">
            <v>44.58</v>
          </cell>
          <cell r="AB48">
            <v>48.1</v>
          </cell>
          <cell r="AC48">
            <v>51.71</v>
          </cell>
          <cell r="AD48">
            <v>55.38</v>
          </cell>
          <cell r="AE48">
            <v>59.08</v>
          </cell>
          <cell r="AF48">
            <v>62.79</v>
          </cell>
          <cell r="AG48">
            <v>66.48</v>
          </cell>
          <cell r="AH48">
            <v>70.099999999999994</v>
          </cell>
          <cell r="AI48">
            <v>73.63</v>
          </cell>
          <cell r="AJ48">
            <v>77.040000000000006</v>
          </cell>
          <cell r="AK48">
            <v>80.28</v>
          </cell>
          <cell r="AL48">
            <v>83.33</v>
          </cell>
          <cell r="AM48">
            <v>86.16</v>
          </cell>
          <cell r="AN48">
            <v>88.73</v>
          </cell>
          <cell r="AO48">
            <v>91.03</v>
          </cell>
          <cell r="AP48">
            <v>93.03</v>
          </cell>
          <cell r="AQ48">
            <v>94.74</v>
          </cell>
          <cell r="AR48">
            <v>96.13</v>
          </cell>
          <cell r="AS48">
            <v>97.21</v>
          </cell>
          <cell r="AT48">
            <v>97.91</v>
          </cell>
          <cell r="AU48">
            <v>98.61</v>
          </cell>
          <cell r="AV48">
            <v>99.3</v>
          </cell>
          <cell r="AW48">
            <v>100</v>
          </cell>
        </row>
        <row r="53">
          <cell r="B53">
            <v>0.1</v>
          </cell>
          <cell r="C53">
            <v>0.2</v>
          </cell>
          <cell r="D53">
            <v>0.3</v>
          </cell>
          <cell r="E53">
            <v>0.4</v>
          </cell>
          <cell r="F53">
            <v>0.5</v>
          </cell>
          <cell r="G53">
            <v>0.6</v>
          </cell>
          <cell r="H53">
            <v>0.7</v>
          </cell>
          <cell r="I53">
            <v>0.8</v>
          </cell>
          <cell r="J53">
            <v>1</v>
          </cell>
          <cell r="K53">
            <v>1.2</v>
          </cell>
          <cell r="L53">
            <v>1.4</v>
          </cell>
          <cell r="M53">
            <v>1.7</v>
          </cell>
          <cell r="N53">
            <v>2.1</v>
          </cell>
          <cell r="O53">
            <v>2.6</v>
          </cell>
          <cell r="P53">
            <v>3.6</v>
          </cell>
          <cell r="Q53">
            <v>4.8</v>
          </cell>
          <cell r="R53">
            <v>6.4</v>
          </cell>
          <cell r="S53">
            <v>8.1999999999999993</v>
          </cell>
          <cell r="T53">
            <v>10.199999999999999</v>
          </cell>
          <cell r="U53">
            <v>12.4</v>
          </cell>
          <cell r="V53">
            <v>14.8</v>
          </cell>
          <cell r="W53">
            <v>17.399999999999999</v>
          </cell>
          <cell r="X53">
            <v>20.2</v>
          </cell>
          <cell r="Y53">
            <v>23.2</v>
          </cell>
          <cell r="Z53">
            <v>26.4</v>
          </cell>
          <cell r="AA53">
            <v>30.2</v>
          </cell>
          <cell r="AB53">
            <v>34.200000000000003</v>
          </cell>
          <cell r="AC53">
            <v>38.4</v>
          </cell>
          <cell r="AD53">
            <v>42.9</v>
          </cell>
          <cell r="AE53">
            <v>47.7</v>
          </cell>
          <cell r="AF53">
            <v>52.7</v>
          </cell>
          <cell r="AG53">
            <v>57.7</v>
          </cell>
          <cell r="AH53">
            <v>62.7</v>
          </cell>
          <cell r="AI53">
            <v>67.900000000000006</v>
          </cell>
          <cell r="AJ53">
            <v>72.5</v>
          </cell>
          <cell r="AK53">
            <v>76.5</v>
          </cell>
          <cell r="AL53">
            <v>79.7</v>
          </cell>
          <cell r="AM53">
            <v>82.9</v>
          </cell>
          <cell r="AN53">
            <v>85.7</v>
          </cell>
          <cell r="AO53">
            <v>87.9</v>
          </cell>
          <cell r="AP53">
            <v>90.1</v>
          </cell>
          <cell r="AQ53">
            <v>91.9</v>
          </cell>
          <cell r="AR53">
            <v>93.7</v>
          </cell>
          <cell r="AS53">
            <v>94.7</v>
          </cell>
          <cell r="AT53">
            <v>95.7</v>
          </cell>
          <cell r="AU53">
            <v>96.7</v>
          </cell>
          <cell r="AV53">
            <v>97.6</v>
          </cell>
          <cell r="AW53">
            <v>98.4</v>
          </cell>
          <cell r="AX53">
            <v>99.1</v>
          </cell>
          <cell r="AY53">
            <v>99.6</v>
          </cell>
          <cell r="AZ53">
            <v>99.8</v>
          </cell>
          <cell r="BA53">
            <v>99.9</v>
          </cell>
          <cell r="BB53">
            <v>100</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de Controle - Nova Revis"/>
      <sheetName val="16-EQUIP."/>
      <sheetName val="17-MOI"/>
      <sheetName val="A.2- RESUMO"/>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 120 Dias"/>
      <sheetName val="Reforma"/>
      <sheetName val="Ciência da Natureza"/>
      <sheetName val="Informática"/>
      <sheetName val="Biblioteca"/>
      <sheetName val="CRONOGRAMA_-_120_Dias"/>
      <sheetName val="Ciência_da_Natureza"/>
      <sheetName val="10.0 - CRONOGRAMA"/>
    </sheetNames>
    <sheetDataSet>
      <sheetData sheetId="0"/>
      <sheetData sheetId="1"/>
      <sheetData sheetId="2"/>
      <sheetData sheetId="3"/>
      <sheetData sheetId="4"/>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filterMode="1">
    <tabColor rgb="FF002060"/>
    <pageSetUpPr fitToPage="1"/>
  </sheetPr>
  <dimension ref="A1:GA395"/>
  <sheetViews>
    <sheetView showGridLines="0" view="pageBreakPreview" zoomScale="70" zoomScaleSheetLayoutView="70" workbookViewId="0">
      <selection activeCell="O66" sqref="O66"/>
    </sheetView>
  </sheetViews>
  <sheetFormatPr defaultColWidth="9.140625" defaultRowHeight="16.5"/>
  <cols>
    <col min="1" max="1" width="11" style="24" customWidth="1"/>
    <col min="2" max="2" width="15.140625" style="27" customWidth="1"/>
    <col min="3" max="3" width="79.85546875" style="23" customWidth="1"/>
    <col min="4" max="4" width="11.42578125" style="27" customWidth="1"/>
    <col min="5" max="5" width="5.5703125" style="27" customWidth="1"/>
    <col min="6" max="6" width="8.28515625" style="28" customWidth="1"/>
    <col min="7" max="7" width="10.140625" style="17" customWidth="1"/>
    <col min="8" max="8" width="9.140625" style="17"/>
    <col min="9" max="16" width="9.140625" style="23"/>
    <col min="17" max="17" width="24.42578125" style="23" bestFit="1" customWidth="1"/>
    <col min="18" max="16384" width="9.140625" style="23"/>
  </cols>
  <sheetData>
    <row r="1" spans="1:183" s="7" customFormat="1" ht="15.75">
      <c r="A1" s="1"/>
      <c r="B1" s="2"/>
      <c r="C1" s="3"/>
      <c r="D1" s="4"/>
      <c r="E1" s="5"/>
      <c r="F1" s="6"/>
      <c r="G1" s="6"/>
      <c r="H1" s="6"/>
    </row>
    <row r="2" spans="1:183" s="7" customFormat="1" ht="15.75">
      <c r="A2" s="8"/>
      <c r="B2" s="1824"/>
      <c r="C2" s="2330" t="s">
        <v>0</v>
      </c>
      <c r="D2" s="1817"/>
      <c r="E2" s="1825"/>
      <c r="F2" s="6"/>
      <c r="G2" s="6"/>
      <c r="H2" s="6"/>
    </row>
    <row r="3" spans="1:183" s="7" customFormat="1" ht="15.75">
      <c r="A3" s="8"/>
      <c r="B3" s="1824"/>
      <c r="C3" s="2330"/>
      <c r="D3" s="1817"/>
      <c r="E3" s="1825"/>
      <c r="F3" s="6"/>
      <c r="G3" s="6"/>
      <c r="H3" s="6"/>
    </row>
    <row r="4" spans="1:183" s="7" customFormat="1" ht="15.75">
      <c r="A4" s="8"/>
      <c r="B4" s="1824"/>
      <c r="C4" s="2330"/>
      <c r="D4" s="1817"/>
      <c r="E4" s="1825"/>
      <c r="F4" s="6"/>
      <c r="G4" s="6"/>
      <c r="H4" s="6"/>
    </row>
    <row r="5" spans="1:183" s="7" customFormat="1" ht="15.75">
      <c r="A5" s="8"/>
      <c r="B5" s="1824"/>
      <c r="C5" s="2330"/>
      <c r="D5" s="1817"/>
      <c r="E5" s="1825"/>
      <c r="F5" s="6"/>
      <c r="G5" s="9"/>
      <c r="H5" s="9"/>
    </row>
    <row r="6" spans="1:183" s="7" customFormat="1" ht="15.75">
      <c r="A6" s="8"/>
      <c r="B6" s="1824"/>
      <c r="C6" s="1818"/>
      <c r="D6" s="1817"/>
      <c r="E6" s="1825"/>
      <c r="F6" s="6"/>
      <c r="G6" s="9"/>
      <c r="H6" s="9"/>
    </row>
    <row r="7" spans="1:183" s="7" customFormat="1" ht="15" customHeight="1">
      <c r="A7" s="8"/>
      <c r="B7" s="1826" t="s">
        <v>1</v>
      </c>
      <c r="C7" s="1819" t="s">
        <v>2</v>
      </c>
      <c r="D7" s="1819"/>
      <c r="E7" s="1827"/>
      <c r="F7" s="6"/>
      <c r="G7" s="9"/>
      <c r="H7" s="9"/>
    </row>
    <row r="8" spans="1:183" s="7" customFormat="1" ht="15" customHeight="1">
      <c r="A8" s="8"/>
      <c r="B8" s="1826" t="s">
        <v>3</v>
      </c>
      <c r="C8" s="1819" t="str">
        <f>'11 - FINANCEIRA'!C7</f>
        <v>Galerias Santa Rita no Município de Vila Velha/ES</v>
      </c>
      <c r="D8" s="1819"/>
      <c r="E8" s="1827"/>
      <c r="F8" s="6"/>
      <c r="G8" s="9"/>
      <c r="H8" s="9"/>
    </row>
    <row r="9" spans="1:183" s="7" customFormat="1" ht="15" customHeight="1">
      <c r="A9" s="8"/>
      <c r="B9" s="1826" t="s">
        <v>4</v>
      </c>
      <c r="C9" s="1819" t="str">
        <f>'11 - FINANCEIRA'!C8</f>
        <v>Construção de Galerias de Macrodrenagem no Bairro Santa Rita</v>
      </c>
      <c r="D9" s="1819"/>
      <c r="E9" s="1827"/>
      <c r="F9" s="6"/>
      <c r="G9" s="9"/>
      <c r="H9" s="9"/>
    </row>
    <row r="10" spans="1:183" s="7" customFormat="1" ht="15" customHeight="1">
      <c r="A10" s="8"/>
      <c r="B10" s="1826" t="s">
        <v>5</v>
      </c>
      <c r="C10" s="1820" t="s">
        <v>6</v>
      </c>
      <c r="D10" s="1819"/>
      <c r="E10" s="1827"/>
      <c r="F10" s="6"/>
      <c r="G10" s="9"/>
      <c r="H10" s="9"/>
    </row>
    <row r="11" spans="1:183" s="7" customFormat="1" ht="15" customHeight="1">
      <c r="A11" s="8"/>
      <c r="B11" s="1826" t="s">
        <v>7</v>
      </c>
      <c r="C11" s="1821">
        <f>'11 - FINANCEIRA'!F9</f>
        <v>44774</v>
      </c>
      <c r="D11" s="1819"/>
      <c r="E11" s="1827"/>
      <c r="F11" s="6"/>
      <c r="G11" s="9"/>
      <c r="H11" s="9"/>
    </row>
    <row r="12" spans="1:183" s="7" customFormat="1" ht="30" customHeight="1">
      <c r="A12" s="8"/>
      <c r="B12" s="1828" t="s">
        <v>8</v>
      </c>
      <c r="C12" s="1819" t="str">
        <f>'11 - FINANCEIRA'!C10</f>
        <v>01/06/2025 a 31/09/2025</v>
      </c>
      <c r="D12" s="1819"/>
      <c r="E12" s="1827"/>
      <c r="F12" s="10"/>
      <c r="G12" s="10"/>
      <c r="H12" s="10"/>
      <c r="I12" s="10"/>
    </row>
    <row r="13" spans="1:183" s="7" customFormat="1" ht="11.25" customHeight="1">
      <c r="A13" s="8"/>
      <c r="B13" s="11"/>
      <c r="C13" s="1822"/>
      <c r="D13" s="1817"/>
      <c r="E13" s="1829"/>
      <c r="F13" s="6"/>
      <c r="G13" s="12"/>
      <c r="H13" s="12"/>
    </row>
    <row r="14" spans="1:183" s="7" customFormat="1" ht="15.75">
      <c r="A14" s="13"/>
      <c r="B14" s="2331">
        <f>'11 - FINANCEIRA'!C9</f>
        <v>28</v>
      </c>
      <c r="C14" s="2332"/>
      <c r="D14" s="2332"/>
      <c r="E14" s="2333"/>
      <c r="F14" s="6"/>
      <c r="G14" s="12"/>
      <c r="H14" s="12"/>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row>
    <row r="15" spans="1:183" s="18" customFormat="1">
      <c r="A15" s="15" t="str">
        <f>'11 - FINANCEIRA'!A15</f>
        <v>1.0</v>
      </c>
      <c r="B15" s="1830" t="str">
        <f>VLOOKUP(A15,'11 - FINANCEIRA'!A:AC,1,0)</f>
        <v>1.0</v>
      </c>
      <c r="C15" s="1831" t="str">
        <f>VLOOKUP(A15,'11 - FINANCEIRA'!A:AC,2,FALSE)</f>
        <v>Administração da Obra</v>
      </c>
      <c r="D15" s="1832"/>
      <c r="E15" s="1833"/>
      <c r="F15" s="16" t="str">
        <f>A15</f>
        <v>1.0</v>
      </c>
      <c r="G15" s="17"/>
      <c r="H15" s="17">
        <f>SUM(H17:H24)</f>
        <v>0</v>
      </c>
    </row>
    <row r="16" spans="1:183" s="18" customFormat="1" hidden="1">
      <c r="A16" s="15" t="str">
        <f>'11 - FINANCEIRA'!A16</f>
        <v>1.1</v>
      </c>
      <c r="B16" s="1798" t="s">
        <v>18</v>
      </c>
      <c r="C16" s="1799" t="str">
        <f>VLOOKUP(A16,'11 - FINANCEIRA'!A:AC,2,FALSE)</f>
        <v>Implantação do Canteiro de Obras</v>
      </c>
      <c r="D16" s="1800"/>
      <c r="E16" s="1801"/>
      <c r="F16" s="16" t="str">
        <f t="shared" ref="F16:F63" si="0">A16</f>
        <v>1.1</v>
      </c>
      <c r="G16" s="17"/>
      <c r="H16" s="17">
        <f>SUM(H17:H21)</f>
        <v>0</v>
      </c>
    </row>
    <row r="17" spans="1:8" ht="38.25" hidden="1">
      <c r="A17" s="15" t="str">
        <f>'11 - FINANCEIRA'!A17</f>
        <v>1.1.1</v>
      </c>
      <c r="B17" s="19">
        <f>'11 - FINANCEIRA'!B17</f>
        <v>20712</v>
      </c>
      <c r="C17" s="20" t="str">
        <f>VLOOKUP(A17,'11 - FINANCEIRA'!A:AC,3,FALSE)</f>
        <v>Rede De Água Com Padrão De Entrada D'Água Diâm. 3/4", Conf. Espec. Cesan, Incl. Tubos E Conexões Para Alimentação, Distribuição, Extravasor E Limpeza, Cons. O Padrão A 25M, Conf. Projeto (1 Utilização)</v>
      </c>
      <c r="D17" s="21">
        <f>VLOOKUP(A17,'11 - FINANCEIRA'!A:AE,20,0)</f>
        <v>0</v>
      </c>
      <c r="E17" s="22" t="str">
        <f>VLOOKUP(A17,'11 - FINANCEIRA'!A:AC,4,0)</f>
        <v>m</v>
      </c>
      <c r="F17" s="16" t="str">
        <f t="shared" si="0"/>
        <v>1.1.1</v>
      </c>
      <c r="G17" s="17" t="str">
        <f>IF(D17&gt;0,"POSITIVO",IF(D17=0,"NULO",IF(D17&lt;0,"NEGATIVO")))</f>
        <v>NULO</v>
      </c>
      <c r="H17" s="17">
        <f>IF(G17="NULO",0,1)</f>
        <v>0</v>
      </c>
    </row>
    <row r="18" spans="1:8" ht="25.5" hidden="1">
      <c r="A18" s="15" t="str">
        <f>'11 - FINANCEIRA'!A18</f>
        <v>1.1.2</v>
      </c>
      <c r="B18" s="19">
        <f>'11 - FINANCEIRA'!B18</f>
        <v>20714</v>
      </c>
      <c r="C18" s="20" t="str">
        <f>VLOOKUP(A18,'11 - FINANCEIRA'!A:AC,3,FALSE)</f>
        <v>Rede De Esgoto, Contendo Fossa E Filtro, Inclusive Tubos E Conexões De Ligação Entre Caixas, Considerando Distância De 25M, Conforme Projeto (1 Utilização)</v>
      </c>
      <c r="D18" s="21">
        <f>VLOOKUP(A18,'11 - FINANCEIRA'!A:AE,20,0)</f>
        <v>0</v>
      </c>
      <c r="E18" s="22" t="str">
        <f>VLOOKUP(A18,'11 - FINANCEIRA'!A:AC,4,0)</f>
        <v>m</v>
      </c>
      <c r="F18" s="16" t="str">
        <f t="shared" si="0"/>
        <v>1.1.2</v>
      </c>
      <c r="G18" s="17" t="str">
        <f t="shared" ref="G18:G24" si="1">IF(D18&gt;0,"POSITIVO",IF(D18=0,"NULO",IF(D18&lt;0,"NEGATIVO")))</f>
        <v>NULO</v>
      </c>
      <c r="H18" s="17">
        <f>IF(G18="NULO",0,1)</f>
        <v>0</v>
      </c>
    </row>
    <row r="19" spans="1:8" ht="38.25" hidden="1">
      <c r="A19" s="15" t="str">
        <f>'11 - FINANCEIRA'!A19</f>
        <v>1.1.3</v>
      </c>
      <c r="B19" s="19">
        <f>'11 - FINANCEIRA'!B19</f>
        <v>20713</v>
      </c>
      <c r="C19" s="20" t="str">
        <f>VLOOKUP(A19,'11 - FINANCEIRA'!A:AC,3,FALSE)</f>
        <v>Rede De Luz, Incl. Padrão Entrada De Energia Trifás., Cabo De Ligação Até Barracões, Quadro De Distrib., Disj. E Chave De Força (Quando Necessário), Cons. 20M Entre Padrão Entrada E Qdg, Conf. Projeto (1 Utilização)</v>
      </c>
      <c r="D19" s="21">
        <f>VLOOKUP(A19,'11 - FINANCEIRA'!A:AE,20,0)</f>
        <v>0</v>
      </c>
      <c r="E19" s="22" t="str">
        <f>VLOOKUP(A19,'11 - FINANCEIRA'!A:AC,4,0)</f>
        <v>m</v>
      </c>
      <c r="F19" s="16" t="str">
        <f t="shared" si="0"/>
        <v>1.1.3</v>
      </c>
      <c r="G19" s="17" t="str">
        <f t="shared" si="1"/>
        <v>NULO</v>
      </c>
      <c r="H19" s="17">
        <f>IF(G19="NULO",0,1)</f>
        <v>0</v>
      </c>
    </row>
    <row r="20" spans="1:8" ht="25.5" hidden="1">
      <c r="A20" s="15" t="str">
        <f>'11 - FINANCEIRA'!A20</f>
        <v>1.1.4</v>
      </c>
      <c r="B20" s="19">
        <f>'11 - FINANCEIRA'!B20</f>
        <v>20711</v>
      </c>
      <c r="C20" s="20" t="str">
        <f>VLOOKUP(A20,'11 - FINANCEIRA'!A:AC,3,FALSE)</f>
        <v>Reservatório De Poliestileno De 1000 L, Incl. Suporte Em Madeira De 7X12Cm E 8X7Cm, Elevado De 4M, Conf. Projeto (1 Utilização)</v>
      </c>
      <c r="D20" s="21">
        <f>VLOOKUP(A20,'11 - FINANCEIRA'!A:AE,20,0)</f>
        <v>0</v>
      </c>
      <c r="E20" s="22" t="str">
        <f>VLOOKUP(A20,'11 - FINANCEIRA'!A:AC,4,0)</f>
        <v>und</v>
      </c>
      <c r="F20" s="16" t="str">
        <f t="shared" si="0"/>
        <v>1.1.4</v>
      </c>
      <c r="G20" s="17" t="str">
        <f t="shared" si="1"/>
        <v>NULO</v>
      </c>
      <c r="H20" s="17">
        <f>IF(G20="NULO",0,1)</f>
        <v>0</v>
      </c>
    </row>
    <row r="21" spans="1:8" ht="38.25" hidden="1">
      <c r="A21" s="15" t="str">
        <f>'11 - FINANCEIRA'!A21</f>
        <v>1.1.5</v>
      </c>
      <c r="B21" s="19">
        <f>'11 - FINANCEIRA'!B21</f>
        <v>20350</v>
      </c>
      <c r="C21" s="20" t="str">
        <f>VLOOKUP(A21,'11 - FINANCEIRA'!A:AC,3,FALSE)</f>
        <v>Tapume Telha Metálica Ondulada Em Aço Galvalume 0,50Mm Branca H=2,20M, Incl. Montagem Estr. Mad. 8"X8", C/Adesivo "Der-Es" 60X60Cm A Cada 10M, Incl. Faixas Pint. Esmalte Sint. Cores Azul C/ H=30Cm E Rosa C/ H=10Cm (Reaproveitamento 2X)</v>
      </c>
      <c r="D21" s="21">
        <f>VLOOKUP(A21,'11 - FINANCEIRA'!A:AE,20,0)</f>
        <v>0</v>
      </c>
      <c r="E21" s="22" t="str">
        <f>VLOOKUP(A21,'11 - FINANCEIRA'!A:AC,4,0)</f>
        <v>m</v>
      </c>
      <c r="F21" s="16" t="str">
        <f t="shared" si="0"/>
        <v>1.1.5</v>
      </c>
      <c r="G21" s="17" t="str">
        <f t="shared" si="1"/>
        <v>NULO</v>
      </c>
      <c r="H21" s="17">
        <f>IF(G21="NULO",0,1)</f>
        <v>0</v>
      </c>
    </row>
    <row r="22" spans="1:8" s="25" customFormat="1" hidden="1">
      <c r="A22" s="15" t="str">
        <f>'11 - FINANCEIRA'!A22</f>
        <v>1.1.6</v>
      </c>
      <c r="B22" s="19">
        <f>'11 - FINANCEIRA'!B22</f>
        <v>20305</v>
      </c>
      <c r="C22" s="20" t="str">
        <f>VLOOKUP(A22,'11 - FINANCEIRA'!A:AC,3,FALSE)</f>
        <v>Placa De Obra Nas Dimensões De 2.0 X 4.0 M, Padrão Iopes</v>
      </c>
      <c r="D22" s="21">
        <f>VLOOKUP(A22,'11 - FINANCEIRA'!A:AE,20,0)</f>
        <v>0</v>
      </c>
      <c r="E22" s="22" t="str">
        <f>VLOOKUP(A22,'11 - FINANCEIRA'!A:AC,4,0)</f>
        <v>m²</v>
      </c>
      <c r="F22" s="16" t="str">
        <f>A22</f>
        <v>1.1.6</v>
      </c>
      <c r="G22" s="17"/>
      <c r="H22" s="17">
        <f>SUM(H23:H24)</f>
        <v>0</v>
      </c>
    </row>
    <row r="23" spans="1:8" ht="25.5" hidden="1">
      <c r="A23" s="15" t="str">
        <f>'11 - FINANCEIRA'!A23</f>
        <v>1.1.7</v>
      </c>
      <c r="B23" s="1789">
        <f>'11 - FINANCEIRA'!B23</f>
        <v>200576</v>
      </c>
      <c r="C23" s="1790" t="str">
        <f>VLOOKUP(A23,'11 - FINANCEIRA'!A:AC,3,FALSE)</f>
        <v>Placa Para Inauguração De Obra Em Alumínio Polido E=4Mm, Dimensões 40 X 50 Cm, Gravação Em Baixo Relevo, Inclusive Pintura E Fixação</v>
      </c>
      <c r="D23" s="1791">
        <f>VLOOKUP(A23,'11 - FINANCEIRA'!A:AE,20,0)</f>
        <v>0</v>
      </c>
      <c r="E23" s="1792" t="str">
        <f>VLOOKUP(A23,'11 - FINANCEIRA'!A:AC,4,0)</f>
        <v>und</v>
      </c>
      <c r="F23" s="16" t="str">
        <f t="shared" si="0"/>
        <v>1.1.7</v>
      </c>
      <c r="G23" s="17" t="str">
        <f t="shared" si="1"/>
        <v>NULO</v>
      </c>
      <c r="H23" s="17">
        <f>IF(G23="NULO",0,1)</f>
        <v>0</v>
      </c>
    </row>
    <row r="24" spans="1:8">
      <c r="A24" s="15" t="str">
        <f>'11 - FINANCEIRA'!A24</f>
        <v>1.2</v>
      </c>
      <c r="B24" s="1834" t="str">
        <f>A24</f>
        <v>1.2</v>
      </c>
      <c r="C24" s="1835" t="str">
        <f>'11 - FINANCEIRA'!B24</f>
        <v>Canteiro de Obras</v>
      </c>
      <c r="D24" s="1835"/>
      <c r="E24" s="1836"/>
      <c r="F24" s="16" t="str">
        <f t="shared" si="0"/>
        <v>1.2</v>
      </c>
      <c r="G24" s="17" t="str">
        <f t="shared" si="1"/>
        <v>NULO</v>
      </c>
      <c r="H24" s="17">
        <f>IF(G24="NULO",0,1)</f>
        <v>0</v>
      </c>
    </row>
    <row r="25" spans="1:8" hidden="1">
      <c r="A25" s="15" t="str">
        <f>'11 - FINANCEIRA'!A25</f>
        <v>1.2.1</v>
      </c>
      <c r="B25" s="1802">
        <f>'11 - FINANCEIRA'!B25</f>
        <v>20344</v>
      </c>
      <c r="C25" s="1803" t="str">
        <f>VLOOKUP(A25,'11 - FINANCEIRA'!A:AC,3,FALSE)</f>
        <v xml:space="preserve">Mobilização e desmobilização de conteiner locado </v>
      </c>
      <c r="D25" s="1804">
        <f>VLOOKUP(A25,'11 - FINANCEIRA'!A:AE,24,0)</f>
        <v>0</v>
      </c>
      <c r="E25" s="1805" t="str">
        <f>VLOOKUP(A25,'11 - FINANCEIRA'!A:AC,4,0)</f>
        <v>und</v>
      </c>
      <c r="F25" s="16" t="str">
        <f t="shared" si="0"/>
        <v>1.2.1</v>
      </c>
      <c r="H25" s="17">
        <f>SUM(H26:H29)</f>
        <v>1</v>
      </c>
    </row>
    <row r="26" spans="1:8" s="18" customFormat="1" ht="38.25" hidden="1">
      <c r="A26" s="15" t="str">
        <f>'11 - FINANCEIRA'!A26</f>
        <v>1.2.2</v>
      </c>
      <c r="B26" s="19">
        <f>'11 - FINANCEIRA'!B26</f>
        <v>20353</v>
      </c>
      <c r="C26" s="1438" t="str">
        <f>VLOOKUP(A26,'11 - FINANCEIRA'!A:AC,3,FALSE)</f>
        <v>Aluguel Mensal Container Para Refeitorio, Incl. Porta, 2 Janelas, Abert P/ Ar Cond., 2 Pt Iluminação, 2 Tomadas Elét. E 1 Tomada Telef. Isolamento Térmico (Paredes E Teto), Piso Em Comp. Naval Pintado, Cert. Nr18, Incl. Laudo Descontaminação.</v>
      </c>
      <c r="D26" s="1439">
        <f>VLOOKUP(A26,'11 - FINANCEIRA'!A:AE,26,0)</f>
        <v>0</v>
      </c>
      <c r="E26" s="1787" t="str">
        <f>VLOOKUP(A26,'11 - FINANCEIRA'!A:AC,4,0)</f>
        <v>mês</v>
      </c>
      <c r="F26" s="16" t="str">
        <f t="shared" si="0"/>
        <v>1.2.2</v>
      </c>
      <c r="G26" s="17" t="str">
        <f>IF(D26&gt;0,"POSITIVO",IF(D26=0,"NULO",IF(D26&lt;0,"NEGATIVO")))</f>
        <v>NULO</v>
      </c>
      <c r="H26" s="17">
        <f>IF(G26="NULO",0,1)</f>
        <v>0</v>
      </c>
    </row>
    <row r="27" spans="1:8" ht="38.25" hidden="1">
      <c r="A27" s="15" t="str">
        <f>'11 - FINANCEIRA'!A27</f>
        <v>1.2.3</v>
      </c>
      <c r="B27" s="1789">
        <f>'11 - FINANCEIRA'!B27</f>
        <v>20355</v>
      </c>
      <c r="C27" s="1444" t="str">
        <f>VLOOKUP(A27,'11 - FINANCEIRA'!A:AC,3,FALSE)</f>
        <v>Aluguel Mensal Container Sanitário, Incl Porta, Básc, 2 Ptos Luz, 1 Pto Aterram., 3Vasos, 3Lavatórios, Calha Mictório, 6 Chuveiros (1 Eletrico), Torn.,Registros, Piso Comp. Naval Pintado, Cert Nr18 E Laudo Descontaminação</v>
      </c>
      <c r="D27" s="1793">
        <f>VLOOKUP(A27,'11 - FINANCEIRA'!A:AE,26,0)</f>
        <v>0</v>
      </c>
      <c r="E27" s="1794" t="str">
        <f>VLOOKUP(A27,'11 - FINANCEIRA'!A:AC,4,0)</f>
        <v>mês</v>
      </c>
      <c r="F27" s="16" t="str">
        <f t="shared" si="0"/>
        <v>1.2.3</v>
      </c>
      <c r="G27" s="17" t="str">
        <f>IF(D27&gt;0,"POSITIVO",IF(D27=0,"NULO",IF(D27&lt;0,"NEGATIVO")))</f>
        <v>NULO</v>
      </c>
      <c r="H27" s="17">
        <f>IF(G27="NULO",0,1)</f>
        <v>0</v>
      </c>
    </row>
    <row r="28" spans="1:8" ht="51">
      <c r="A28" s="15" t="str">
        <f>'11 - FINANCEIRA'!A28</f>
        <v>1.2.4</v>
      </c>
      <c r="B28" s="1837">
        <f>'11 - FINANCEIRA'!B28</f>
        <v>20352</v>
      </c>
      <c r="C28" s="1838" t="str">
        <f>VLOOKUP(A28,'11 - FINANCEIRA'!A:AC,3,FALSE)</f>
        <v>Aluguel Mensal Container Para Escritório, Dim. 6.00X2.40M, C/ Banheiro (Vaso+Lavat+Chuveiro E Básc), Incl. Porta, 2 Janelas, Abert P/ Ar Cond., 2 Pt Iluminação, 2 Tom. Elét. E 1 Tom.Telef. Isolam.Térmico(Teto E Paredes), Piso Em Comp. Naval, Cert. Nr18, Incl. Laudo Descontaminação.</v>
      </c>
      <c r="D28" s="1839">
        <f>VLOOKUP(A28,'11 - FINANCEIRA'!A:AE,26,0)</f>
        <v>6</v>
      </c>
      <c r="E28" s="1840" t="str">
        <f>VLOOKUP(A28,'11 - FINANCEIRA'!A:AC,4,0)</f>
        <v>mês</v>
      </c>
      <c r="F28" s="16" t="str">
        <f t="shared" si="0"/>
        <v>1.2.4</v>
      </c>
      <c r="G28" s="17" t="str">
        <f>IF(D28&gt;0,"POSITIVO",IF(D28=0,"NULO",IF(D28&lt;0,"NEGATIVO")))</f>
        <v>POSITIVO</v>
      </c>
      <c r="H28" s="17">
        <f>IF(G28="NULO",0,1)</f>
        <v>1</v>
      </c>
    </row>
    <row r="29" spans="1:8" ht="38.25" hidden="1">
      <c r="A29" s="15" t="str">
        <f>'11 - FINANCEIRA'!A29</f>
        <v>1.2.5</v>
      </c>
      <c r="B29" s="1802">
        <f>'11 - FINANCEIRA'!B29</f>
        <v>20356</v>
      </c>
      <c r="C29" s="1806" t="str">
        <f>VLOOKUP(A29,'11 - FINANCEIRA'!A:AC,3,FALSE)</f>
        <v>Aluguel mensal container para almoxarifado, incl. porta, 2 janelas, 1 pt iluminação, Isolamento térmico (teto), piso em comp. Naval pintado, cert. NR18, incl. laudo descontaminação.</v>
      </c>
      <c r="D29" s="1807">
        <f>VLOOKUP(A29,'11 - FINANCEIRA'!A:AE,26,0)</f>
        <v>0</v>
      </c>
      <c r="E29" s="1808" t="str">
        <f>VLOOKUP(A29,'11 - FINANCEIRA'!A:AC,4,0)</f>
        <v>mês</v>
      </c>
      <c r="F29" s="16" t="str">
        <f t="shared" si="0"/>
        <v>1.2.5</v>
      </c>
      <c r="G29" s="17" t="str">
        <f>IF(D29&gt;0,"POSITIVO",IF(D29=0,"NULO",IF(D29&lt;0,"NEGATIVO")))</f>
        <v>NULO</v>
      </c>
      <c r="H29" s="17">
        <f>IF(G29="NULO",0,1)</f>
        <v>0</v>
      </c>
    </row>
    <row r="30" spans="1:8" ht="38.25" hidden="1">
      <c r="A30" s="15" t="str">
        <f>'11 - FINANCEIRA'!A30</f>
        <v>1.2.6</v>
      </c>
      <c r="B30" s="19">
        <f>'11 - FINANCEIRA'!B30</f>
        <v>20354</v>
      </c>
      <c r="C30" s="1438" t="str">
        <f>VLOOKUP(A30,'11 - FINANCEIRA'!A:AC,3,FALSE)</f>
        <v>Aluguel Mensal Container Para Vestiário, Incl. Porta, Venezianas De Circulação, 1 Pt Iluminação, Isolamento Térmico (Teto), Piso Em Comp. Naval Pintado, Cert. Nr18, Incl. Laudo Descontaminação.</v>
      </c>
      <c r="D30" s="1439">
        <f>VLOOKUP(A30,'11 - FINANCEIRA'!A:AE,26,0)</f>
        <v>0</v>
      </c>
      <c r="E30" s="1787" t="str">
        <f>VLOOKUP(A30,'11 - FINANCEIRA'!A:AC,4,0)</f>
        <v>mês</v>
      </c>
      <c r="F30" s="16" t="str">
        <f>A30</f>
        <v>1.2.6</v>
      </c>
      <c r="H30" s="17">
        <f>SUM(H31:H31)</f>
        <v>0</v>
      </c>
    </row>
    <row r="31" spans="1:8" hidden="1">
      <c r="A31" s="15"/>
      <c r="B31" s="1789"/>
      <c r="C31" s="1444"/>
      <c r="D31" s="1793"/>
      <c r="E31" s="1795"/>
      <c r="F31" s="16">
        <f t="shared" si="0"/>
        <v>0</v>
      </c>
      <c r="G31" s="17" t="str">
        <f t="shared" ref="G31:G36" si="2">IF(D31&gt;0,"POSITIVO",IF(D31=0,"NULO",IF(D31&lt;0,"NEGATIVO")))</f>
        <v>NULO</v>
      </c>
      <c r="H31" s="17">
        <f t="shared" ref="H31:H35" si="3">IF(G31="NULO",0,1)</f>
        <v>0</v>
      </c>
    </row>
    <row r="32" spans="1:8">
      <c r="A32" s="15" t="str">
        <f>'11 - FINANCEIRA'!A32</f>
        <v>2.0</v>
      </c>
      <c r="B32" s="1841" t="str">
        <f>A32</f>
        <v>2.0</v>
      </c>
      <c r="C32" s="1842" t="str">
        <f>'11 - FINANCEIRA'!B32</f>
        <v>Galeria Aribiri</v>
      </c>
      <c r="D32" s="1842"/>
      <c r="E32" s="1843"/>
      <c r="F32" s="16" t="str">
        <f t="shared" si="0"/>
        <v>2.0</v>
      </c>
      <c r="H32" s="17">
        <f>SUM(H33:H36)</f>
        <v>1</v>
      </c>
    </row>
    <row r="33" spans="1:11">
      <c r="A33" s="15" t="str">
        <f>'11 - FINANCEIRA'!A33</f>
        <v>2.1</v>
      </c>
      <c r="B33" s="1844" t="str">
        <f>A33</f>
        <v>2.1</v>
      </c>
      <c r="C33" s="1437" t="str">
        <f>'11 - FINANCEIRA'!B33</f>
        <v>Terraplanagem e Pavimentação</v>
      </c>
      <c r="D33" s="1441"/>
      <c r="E33" s="1442"/>
      <c r="F33" s="16" t="str">
        <f t="shared" si="0"/>
        <v>2.1</v>
      </c>
      <c r="G33" s="17" t="str">
        <f t="shared" si="2"/>
        <v>NULO</v>
      </c>
      <c r="H33" s="17">
        <f t="shared" si="3"/>
        <v>0</v>
      </c>
    </row>
    <row r="34" spans="1:11">
      <c r="A34" s="15" t="str">
        <f>'11 - FINANCEIRA'!A34</f>
        <v>2.1.1</v>
      </c>
      <c r="B34" s="1845">
        <f>'11 - FINANCEIRA'!B34</f>
        <v>4805757</v>
      </c>
      <c r="C34" s="1846" t="str">
        <f>VLOOKUP(A34,'11 - FINANCEIRA'!A:AC,3,FALSE)</f>
        <v>Escavação mecânica de vala em material de 1ª categoria</v>
      </c>
      <c r="D34" s="1847">
        <f>'11 - FINANCEIRA'!Z34</f>
        <v>808.02</v>
      </c>
      <c r="E34" s="1848" t="str">
        <f>VLOOKUP(A34,'11 - FINANCEIRA'!A:AC,4,0)</f>
        <v>m³</v>
      </c>
      <c r="F34" s="16" t="str">
        <f t="shared" si="0"/>
        <v>2.1.1</v>
      </c>
      <c r="G34" s="17" t="str">
        <f t="shared" si="2"/>
        <v>POSITIVO</v>
      </c>
      <c r="H34" s="17">
        <f t="shared" si="3"/>
        <v>1</v>
      </c>
    </row>
    <row r="35" spans="1:11" hidden="1">
      <c r="A35" s="15" t="str">
        <f>'11 - FINANCEIRA'!A35</f>
        <v>2.1.2</v>
      </c>
      <c r="B35" s="1809">
        <f>'11 - FINANCEIRA'!B35</f>
        <v>5503041</v>
      </c>
      <c r="C35" s="1810" t="str">
        <f>VLOOKUP(A35,'11 - FINANCEIRA'!A:AC,3,FALSE)</f>
        <v>Compactação de aterros a 100% do Proctor intermediário</v>
      </c>
      <c r="D35" s="1811">
        <f>VLOOKUP(A35,'11 - FINANCEIRA'!A:AE,24,0)</f>
        <v>0</v>
      </c>
      <c r="E35" s="1797" t="str">
        <f>VLOOKUP(A35,'11 - FINANCEIRA'!A:AC,4,0)</f>
        <v>m³</v>
      </c>
      <c r="F35" s="16" t="str">
        <f t="shared" si="0"/>
        <v>2.1.2</v>
      </c>
      <c r="G35" s="17" t="str">
        <f t="shared" si="2"/>
        <v>NULO</v>
      </c>
      <c r="H35" s="17">
        <f t="shared" si="3"/>
        <v>0</v>
      </c>
    </row>
    <row r="36" spans="1:11" ht="38.25">
      <c r="A36" s="15" t="str">
        <f>'11 - FINANCEIRA'!A36</f>
        <v>2.1.3</v>
      </c>
      <c r="B36" s="1837">
        <f>'11 - FINANCEIRA'!B36</f>
        <v>94340</v>
      </c>
      <c r="C36" s="1838" t="str">
        <f>VLOOKUP(A36,'11 - FINANCEIRA'!A:AC,3,FALSE)</f>
        <v>ATERRO MECANIZADO DE VALA COM RETROESCAVADEIRA (CAPACIDADE DA CAÇAMBA DA RETRO: 0,26 M³ / POTÊNCIA: 88 HP), LARGURA ATÉ 0,8 M, PROFUNDIDADE DE 1,5 A 3,0 M, COM AREIA PARA ATERRO. AF_05/2016</v>
      </c>
      <c r="D36" s="1839">
        <f>'11 - FINANCEIRA'!Z36</f>
        <v>168.59999999999991</v>
      </c>
      <c r="E36" s="1849" t="str">
        <f>VLOOKUP(A36,'11 - FINANCEIRA'!A:AC,4,0)</f>
        <v>m³</v>
      </c>
      <c r="F36" s="16" t="str">
        <f t="shared" si="0"/>
        <v>2.1.3</v>
      </c>
      <c r="G36" s="17" t="str">
        <f t="shared" si="2"/>
        <v>POSITIVO</v>
      </c>
      <c r="H36" s="17">
        <v>0</v>
      </c>
    </row>
    <row r="37" spans="1:11" hidden="1">
      <c r="A37" s="15" t="str">
        <f>'11 - FINANCEIRA'!A37</f>
        <v>2.1.4</v>
      </c>
      <c r="B37" s="1802">
        <f>'11 - FINANCEIRA'!B37</f>
        <v>42045</v>
      </c>
      <c r="C37" s="1806" t="str">
        <f>VLOOKUP(A37,'11 - FINANCEIRA'!A:AC,3,FALSE)</f>
        <v>Aquisição de solo de jazida comercial (saibreira) - BDI = 14,02</v>
      </c>
      <c r="D37" s="1807">
        <f>VLOOKUP(A37,'11 - FINANCEIRA'!A:AE,24,0)</f>
        <v>0</v>
      </c>
      <c r="E37" s="1812" t="str">
        <f>VLOOKUP(A37,'11 - FINANCEIRA'!A:AC,4,0)</f>
        <v>m³</v>
      </c>
      <c r="F37" s="16" t="str">
        <f t="shared" si="0"/>
        <v>2.1.4</v>
      </c>
      <c r="H37" s="17">
        <f>SUM(H38:H43)</f>
        <v>3</v>
      </c>
    </row>
    <row r="38" spans="1:11" hidden="1">
      <c r="A38" s="15" t="str">
        <f>'11 - FINANCEIRA'!A38</f>
        <v>2.1.5</v>
      </c>
      <c r="B38" s="1789">
        <f>'11 - FINANCEIRA'!B38</f>
        <v>5914336</v>
      </c>
      <c r="C38" s="1444" t="str">
        <f>VLOOKUP(A38,'11 - FINANCEIRA'!A:AC,3,FALSE)</f>
        <v xml:space="preserve">Transporte com caminhão basculante de 12m³ - rodovia pavimentada </v>
      </c>
      <c r="D38" s="1793">
        <f>VLOOKUP(A38,'11 - FINANCEIRA'!A:AE,26,0)</f>
        <v>0</v>
      </c>
      <c r="E38" s="1794" t="str">
        <f>VLOOKUP(A38,'11 - FINANCEIRA'!A:AC,4,0)</f>
        <v>tkm</v>
      </c>
      <c r="F38" s="16" t="str">
        <f t="shared" si="0"/>
        <v>2.1.5</v>
      </c>
      <c r="G38" s="17" t="str">
        <f t="shared" ref="G38:G101" si="4">IF(D38&gt;0,"POSITIVO",IF(D38=0,"NULO",IF(D38&lt;0,"NEGATIVO")))</f>
        <v>NULO</v>
      </c>
      <c r="H38" s="17">
        <f t="shared" ref="H38:H110" si="5">IF(G38="NULO",0,1)</f>
        <v>0</v>
      </c>
    </row>
    <row r="39" spans="1:11">
      <c r="A39" s="15" t="str">
        <f>'11 - FINANCEIRA'!A39</f>
        <v>2.1.6</v>
      </c>
      <c r="B39" s="1850">
        <f>'11 - FINANCEIRA'!B39</f>
        <v>645387</v>
      </c>
      <c r="C39" s="1851" t="str">
        <f>VLOOKUP(A39,'11 - FINANCEIRA'!A:AC,3,FALSE)</f>
        <v>Destinação Final de Resíduos Classe II A em aterro sanitário controlado - BDI = 14,02</v>
      </c>
      <c r="D39" s="1852">
        <f>'11 - FINANCEIRA'!Z39</f>
        <v>4587.5500000000011</v>
      </c>
      <c r="E39" s="1853" t="str">
        <f>VLOOKUP(A39,'11 - FINANCEIRA'!A:AC,4,0)</f>
        <v>T</v>
      </c>
      <c r="F39" s="16" t="str">
        <f t="shared" si="0"/>
        <v>2.1.6</v>
      </c>
      <c r="G39" s="17" t="str">
        <f>IF(D39&gt;0,"POSITIVO",IF(D39=0,"NULO",IF(D39&lt;0,"NEGATIVO")))</f>
        <v>POSITIVO</v>
      </c>
      <c r="H39" s="17">
        <f t="shared" si="5"/>
        <v>1</v>
      </c>
    </row>
    <row r="40" spans="1:11" ht="25.5">
      <c r="A40" s="15" t="str">
        <f>'11 - FINANCEIRA'!A40</f>
        <v>2.1.7</v>
      </c>
      <c r="B40" s="1845">
        <f>'11 - FINANCEIRA'!B40</f>
        <v>60024</v>
      </c>
      <c r="C40" s="1846" t="str">
        <f>VLOOKUP(A40,'11 - FINANCEIRA'!A:AC,3,FALSE)</f>
        <v>Transporte de materiais para DMT acima de 15 KM (Caminhão basculante) - Saibreiranull - DMT = 1,30</v>
      </c>
      <c r="D40" s="1847">
        <f>'11 - FINANCEIRA'!Z40</f>
        <v>4771.0519999999997</v>
      </c>
      <c r="E40" s="1854" t="str">
        <f>VLOOKUP(A40,'11 - FINANCEIRA'!A:AC,4,0)</f>
        <v>T</v>
      </c>
      <c r="F40" s="16" t="str">
        <f t="shared" si="0"/>
        <v>2.1.7</v>
      </c>
      <c r="G40" s="17" t="str">
        <f>IF(D40&gt;0,"POSITIVO",IF(D40=0,"NULO",IF(D40&lt;0,"NEGATIVO")))</f>
        <v>POSITIVO</v>
      </c>
      <c r="H40" s="17">
        <f t="shared" si="5"/>
        <v>1</v>
      </c>
    </row>
    <row r="41" spans="1:11" hidden="1">
      <c r="A41" s="15" t="str">
        <f>'11 - FINANCEIRA'!A41</f>
        <v>2.1.8</v>
      </c>
      <c r="B41" s="1809">
        <f>'11 - FINANCEIRA'!B41</f>
        <v>30304</v>
      </c>
      <c r="C41" s="1810" t="str">
        <f>VLOOKUP(A41,'11 - FINANCEIRA'!A:AC,3,FALSE)</f>
        <v>Índice de preço para remoção de entulho decorrente da execução de obras  - BDI = 14,02</v>
      </c>
      <c r="D41" s="1811">
        <f>VLOOKUP(A41,'11 - FINANCEIRA'!A:AE,24,0)</f>
        <v>0</v>
      </c>
      <c r="E41" s="1797" t="str">
        <f>VLOOKUP(A41,'11 - FINANCEIRA'!A:AC,4,0)</f>
        <v>m³</v>
      </c>
      <c r="F41" s="16" t="str">
        <f t="shared" si="0"/>
        <v>2.1.8</v>
      </c>
      <c r="G41" s="17" t="str">
        <f>IF(D41&gt;0,"POSITIVO",IF(D41=0,"NULO",IF(D41&lt;0,"NEGATIVO")))</f>
        <v>NULO</v>
      </c>
      <c r="H41" s="17">
        <f t="shared" si="5"/>
        <v>0</v>
      </c>
    </row>
    <row r="42" spans="1:11">
      <c r="A42" s="15" t="str">
        <f>'11 - FINANCEIRA'!A42</f>
        <v>2.2</v>
      </c>
      <c r="B42" s="1855" t="str">
        <f>A42</f>
        <v>2.2</v>
      </c>
      <c r="C42" s="2334" t="str">
        <f>'11 - FINANCEIRA'!B42</f>
        <v>Drenagem Pluvial</v>
      </c>
      <c r="D42" s="2334"/>
      <c r="E42" s="2335"/>
      <c r="F42" s="16" t="str">
        <f t="shared" si="0"/>
        <v>2.2</v>
      </c>
      <c r="G42" s="17" t="str">
        <f>IF(D42&gt;0,"POSITIVO",IF(D42=0,"NULO",IF(D42&lt;0,"NEGATIVO")))</f>
        <v>NULO</v>
      </c>
      <c r="H42" s="17">
        <f t="shared" si="5"/>
        <v>0</v>
      </c>
    </row>
    <row r="43" spans="1:11" ht="38.25">
      <c r="A43" s="15" t="str">
        <f>'11 - FINANCEIRA'!A43</f>
        <v>2.2.1</v>
      </c>
      <c r="B43" s="19" t="str">
        <f>'11 - FINANCEIRA'!B43</f>
        <v>5199-83627</v>
      </c>
      <c r="C43" s="1438" t="str">
        <f>VLOOKUP(A43,'11 - FINANCEIRA'!A:AC,3,FALSE)</f>
        <v>Tampão Fofo Articulado, Classe B125 Carga Max 12,5 T, Redondo Tampa 600 Mm, Rede Pluvial/Esgoto, P = Chamine Cx Areia / Poco Visita Assentado Com Arg Cim/Areia 1:4, Fornecimento E Assentamento</v>
      </c>
      <c r="D43" s="1439">
        <f>'11 - FINANCEIRA'!Z43</f>
        <v>1</v>
      </c>
      <c r="E43" s="1440" t="str">
        <f>VLOOKUP(A43,'11 - FINANCEIRA'!A:AC,4,0)</f>
        <v>un</v>
      </c>
      <c r="F43" s="16" t="str">
        <f t="shared" si="0"/>
        <v>2.2.1</v>
      </c>
      <c r="G43" s="17" t="str">
        <f>IF(D43&gt;0,"POSITIVO",IF(D43=0,"NULO",IF(D43&lt;0,"NEGATIVO")))</f>
        <v>POSITIVO</v>
      </c>
      <c r="H43" s="17">
        <f t="shared" si="5"/>
        <v>1</v>
      </c>
    </row>
    <row r="44" spans="1:11">
      <c r="A44" s="15" t="str">
        <f>'11 - FINANCEIRA'!A44</f>
        <v>2.3</v>
      </c>
      <c r="B44" s="1844" t="str">
        <f>A44</f>
        <v>2.3</v>
      </c>
      <c r="C44" s="2336" t="str">
        <f>'11 - FINANCEIRA'!B44</f>
        <v>Obras Complementares</v>
      </c>
      <c r="D44" s="2336"/>
      <c r="E44" s="2337"/>
      <c r="F44" s="16" t="str">
        <f t="shared" si="0"/>
        <v>2.3</v>
      </c>
      <c r="H44" s="17">
        <f>SUM(H45:H55)</f>
        <v>3</v>
      </c>
      <c r="K44" s="18"/>
    </row>
    <row r="45" spans="1:11">
      <c r="A45" s="15" t="str">
        <f>'11 - FINANCEIRA'!A45</f>
        <v>2.3.1</v>
      </c>
      <c r="B45" s="1845">
        <f>'11 - FINANCEIRA'!B45</f>
        <v>43069</v>
      </c>
      <c r="C45" s="1846" t="str">
        <f>VLOOKUP(A45,'11 - FINANCEIRA'!A:AC,3,FALSE)</f>
        <v>Remoção de bueiros existentes, em Vias Urbanas</v>
      </c>
      <c r="D45" s="1847">
        <f>VLOOKUP(A45,'11 - FINANCEIRA'!A:AE,26,0)</f>
        <v>22</v>
      </c>
      <c r="E45" s="1848" t="str">
        <f>VLOOKUP(A45,'11 - FINANCEIRA'!A:AC,4,0)</f>
        <v>m</v>
      </c>
      <c r="F45" s="16" t="str">
        <f t="shared" si="0"/>
        <v>2.3.1</v>
      </c>
      <c r="G45" s="17" t="str">
        <f t="shared" si="4"/>
        <v>POSITIVO</v>
      </c>
      <c r="H45" s="17">
        <f t="shared" si="5"/>
        <v>1</v>
      </c>
      <c r="K45" s="18"/>
    </row>
    <row r="46" spans="1:11" ht="25.5" hidden="1">
      <c r="A46" s="15" t="str">
        <f>'11 - FINANCEIRA'!A46</f>
        <v>2.3.2</v>
      </c>
      <c r="B46" s="1809">
        <f>'11 - FINANCEIRA'!B46</f>
        <v>97627</v>
      </c>
      <c r="C46" s="1810" t="str">
        <f>VLOOKUP(A46,'11 - FINANCEIRA'!A:AC,3,FALSE)</f>
        <v>Demolição de pilares e vigas de concreto armado, de forma mecanizada com martelete, sem reaproveitamento AF_12/2017</v>
      </c>
      <c r="D46" s="1811">
        <f>VLOOKUP(A46,'11 - FINANCEIRA'!A:AE,24,0)</f>
        <v>0</v>
      </c>
      <c r="E46" s="1797" t="str">
        <f>VLOOKUP(A46,'11 - FINANCEIRA'!A:AC,4,0)</f>
        <v>m³</v>
      </c>
      <c r="F46" s="16" t="str">
        <f t="shared" si="0"/>
        <v>2.3.2</v>
      </c>
      <c r="G46" s="17" t="str">
        <f t="shared" si="4"/>
        <v>NULO</v>
      </c>
      <c r="H46" s="17">
        <f t="shared" si="5"/>
        <v>0</v>
      </c>
    </row>
    <row r="47" spans="1:11">
      <c r="A47" s="15" t="str">
        <f>'11 - FINANCEIRA'!A47</f>
        <v>2.3.3</v>
      </c>
      <c r="B47" s="1837">
        <f>'11 - FINANCEIRA'!B47</f>
        <v>10325</v>
      </c>
      <c r="C47" s="1838" t="str">
        <f>VLOOKUP(A47,'11 - FINANCEIRA'!A:AC,3,FALSE)</f>
        <v xml:space="preserve">Demolição de estrutura de madeira </v>
      </c>
      <c r="D47" s="1839">
        <f>'11 - FINANCEIRA'!Z47</f>
        <v>29</v>
      </c>
      <c r="E47" s="1849" t="str">
        <f>VLOOKUP(A47,'11 - FINANCEIRA'!A:AC,4,0)</f>
        <v>m²</v>
      </c>
      <c r="F47" s="16" t="str">
        <f t="shared" si="0"/>
        <v>2.3.3</v>
      </c>
      <c r="G47" s="17" t="str">
        <f t="shared" si="4"/>
        <v>POSITIVO</v>
      </c>
      <c r="H47" s="17">
        <f t="shared" si="5"/>
        <v>1</v>
      </c>
      <c r="K47" s="18"/>
    </row>
    <row r="48" spans="1:11" ht="25.5" hidden="1">
      <c r="A48" s="15" t="str">
        <f>'11 - FINANCEIRA'!A48</f>
        <v>2.3.4</v>
      </c>
      <c r="B48" s="1809">
        <f>'11 - FINANCEIRA'!B48</f>
        <v>30304</v>
      </c>
      <c r="C48" s="1810" t="str">
        <f>VLOOKUP(A48,'11 - FINANCEIRA'!A:AC,3,FALSE)</f>
        <v>Índice de preço para remoção de entulho decorrente da execução de obras  - Material demolido - BDI = 14,02null - DMT = 2,50</v>
      </c>
      <c r="D48" s="1811">
        <f>VLOOKUP(A48,'11 - FINANCEIRA'!A:AE,24,0)</f>
        <v>0</v>
      </c>
      <c r="E48" s="1797" t="str">
        <f>VLOOKUP(A48,'11 - FINANCEIRA'!A:AC,4,0)</f>
        <v>m³</v>
      </c>
      <c r="F48" s="16" t="str">
        <f t="shared" si="0"/>
        <v>2.3.4</v>
      </c>
      <c r="G48" s="17" t="str">
        <f t="shared" si="4"/>
        <v>NULO</v>
      </c>
      <c r="H48" s="17">
        <f t="shared" si="5"/>
        <v>0</v>
      </c>
      <c r="K48" s="18"/>
    </row>
    <row r="49" spans="1:11">
      <c r="A49" s="15" t="str">
        <f>'11 - FINANCEIRA'!A49</f>
        <v>2.4</v>
      </c>
      <c r="B49" s="1856" t="str">
        <f>A49</f>
        <v>2.4</v>
      </c>
      <c r="C49" s="2338" t="str">
        <f>'11 - FINANCEIRA'!B49</f>
        <v>Esgoto</v>
      </c>
      <c r="D49" s="2338"/>
      <c r="E49" s="2339"/>
      <c r="F49" s="16" t="str">
        <f t="shared" si="0"/>
        <v>2.4</v>
      </c>
      <c r="G49" s="17" t="str">
        <f t="shared" si="4"/>
        <v>NULO</v>
      </c>
      <c r="H49" s="17">
        <f t="shared" si="5"/>
        <v>0</v>
      </c>
      <c r="K49" s="18"/>
    </row>
    <row r="50" spans="1:11" ht="38.25" hidden="1">
      <c r="A50" s="15" t="str">
        <f>'11 - FINANCEIRA'!A50</f>
        <v>2.4.1</v>
      </c>
      <c r="B50" s="1809">
        <f>'11 - FINANCEIRA'!B50</f>
        <v>98430</v>
      </c>
      <c r="C50" s="1810" t="str">
        <f>VLOOKUP(A50,'11 - FINANCEIRA'!A:AC,3,FALSE)</f>
        <v>Poço de vista circular para esgoto, em alvenaria com tijolos cerâmicos maciços, diâmetro interno =1,2M, profundidade até 1,50m, incluindo tampão de ferro fundido , diâmetro de 60cm.AF_04/2018</v>
      </c>
      <c r="D50" s="1811">
        <f>VLOOKUP(A50,'11 - FINANCEIRA'!A:AE,24,0)</f>
        <v>0</v>
      </c>
      <c r="E50" s="1797" t="str">
        <f>VLOOKUP(A50,'11 - FINANCEIRA'!A:AC,4,0)</f>
        <v>m³</v>
      </c>
      <c r="F50" s="16" t="str">
        <f t="shared" si="0"/>
        <v>2.4.1</v>
      </c>
      <c r="G50" s="17" t="str">
        <f t="shared" si="4"/>
        <v>NULO</v>
      </c>
      <c r="H50" s="17">
        <f t="shared" si="5"/>
        <v>0</v>
      </c>
    </row>
    <row r="51" spans="1:11" ht="38.25">
      <c r="A51" s="15" t="str">
        <f>'11 - FINANCEIRA'!A51</f>
        <v>2.4.2</v>
      </c>
      <c r="B51" s="1850">
        <f>'11 - FINANCEIRA'!B51</f>
        <v>90710</v>
      </c>
      <c r="C51" s="1851" t="str">
        <f>VLOOKUP(A51,'11 - FINANCEIRA'!A:AC,3,FALSE)</f>
        <v>Tubo de PVC para rede coletora de esgoto de parede maciça DN 150mm,junta elástica, instalado em local com nível alto de interferências - Fornecimento Assentamento AF_06/2015</v>
      </c>
      <c r="D51" s="1852">
        <f>VLOOKUP(A51,'11 - FINANCEIRA'!A:AE,26,0)</f>
        <v>27.200000000000045</v>
      </c>
      <c r="E51" s="1857" t="str">
        <f>VLOOKUP(A51,'11 - FINANCEIRA'!A:AC,4,0)</f>
        <v>m</v>
      </c>
      <c r="F51" s="16" t="str">
        <f t="shared" si="0"/>
        <v>2.4.2</v>
      </c>
      <c r="G51" s="17" t="str">
        <f t="shared" si="4"/>
        <v>POSITIVO</v>
      </c>
      <c r="H51" s="17">
        <f t="shared" si="5"/>
        <v>1</v>
      </c>
      <c r="K51" s="18"/>
    </row>
    <row r="52" spans="1:11">
      <c r="A52" s="15" t="str">
        <f>'11 - FINANCEIRA'!A52</f>
        <v>2.4.3</v>
      </c>
      <c r="B52" s="1858" t="str">
        <f>A52</f>
        <v>2.4.3</v>
      </c>
      <c r="C52" s="1859" t="str">
        <f>'11 - FINANCEIRA'!B52</f>
        <v>Movimento de Terra</v>
      </c>
      <c r="D52" s="1859"/>
      <c r="E52" s="1860"/>
      <c r="F52" s="16" t="str">
        <f t="shared" si="0"/>
        <v>2.4.3</v>
      </c>
      <c r="G52" s="17" t="str">
        <f t="shared" si="4"/>
        <v>NULO</v>
      </c>
      <c r="H52" s="17">
        <f t="shared" si="5"/>
        <v>0</v>
      </c>
      <c r="K52" s="18"/>
    </row>
    <row r="53" spans="1:11" hidden="1">
      <c r="A53" s="15" t="str">
        <f>'11 - FINANCEIRA'!A53</f>
        <v>2.4.3.1</v>
      </c>
      <c r="B53" s="1802">
        <f>'11 - FINANCEIRA'!B53</f>
        <v>4805757</v>
      </c>
      <c r="C53" s="1806" t="str">
        <f>VLOOKUP(A53,'11 - FINANCEIRA'!A:AC,3,FALSE)</f>
        <v>Escavação mecânica de vala em material de 1ª categoria</v>
      </c>
      <c r="D53" s="1807">
        <f>VLOOKUP(A53,'11 - FINANCEIRA'!A:AE,24,0)</f>
        <v>0</v>
      </c>
      <c r="E53" s="1812" t="str">
        <f>VLOOKUP(A53,'11 - FINANCEIRA'!A:AC,4,0)</f>
        <v>m³</v>
      </c>
      <c r="F53" s="16" t="str">
        <f t="shared" si="0"/>
        <v>2.4.3.1</v>
      </c>
      <c r="G53" s="17" t="str">
        <f t="shared" si="4"/>
        <v>NULO</v>
      </c>
      <c r="H53" s="17">
        <f t="shared" si="5"/>
        <v>0</v>
      </c>
      <c r="K53" s="18"/>
    </row>
    <row r="54" spans="1:11" hidden="1">
      <c r="A54" s="15" t="str">
        <f>'11 - FINANCEIRA'!A54</f>
        <v>2.4.3.2</v>
      </c>
      <c r="B54" s="19">
        <f>'11 - FINANCEIRA'!B54</f>
        <v>4805749</v>
      </c>
      <c r="C54" s="1438" t="str">
        <f>VLOOKUP(A54,'11 - FINANCEIRA'!A:AC,3,FALSE)</f>
        <v>Escavação manual de vala em material de 1ª categoria</v>
      </c>
      <c r="D54" s="1439">
        <f>VLOOKUP(A54,'11 - FINANCEIRA'!A:AE,24,0)</f>
        <v>0</v>
      </c>
      <c r="E54" s="1440" t="str">
        <f>VLOOKUP(A54,'11 - FINANCEIRA'!A:AC,4,0)</f>
        <v>m³</v>
      </c>
      <c r="F54" s="16" t="str">
        <f t="shared" si="0"/>
        <v>2.4.3.2</v>
      </c>
      <c r="G54" s="17" t="str">
        <f t="shared" si="4"/>
        <v>NULO</v>
      </c>
      <c r="H54" s="17">
        <f t="shared" si="5"/>
        <v>0</v>
      </c>
    </row>
    <row r="55" spans="1:11" ht="25.5" hidden="1">
      <c r="A55" s="15" t="str">
        <f>'11 - FINANCEIRA'!A55</f>
        <v>2.4.3.3</v>
      </c>
      <c r="B55" s="19">
        <f>'11 - FINANCEIRA'!B55</f>
        <v>30206</v>
      </c>
      <c r="C55" s="1438" t="str">
        <f>VLOOKUP(A55,'11 - FINANCEIRA'!A:AC,3,FALSE)</f>
        <v xml:space="preserve">Regularização do terreno em areia, inclusive adensamento hidráulico e fornecimento do material </v>
      </c>
      <c r="D55" s="1439">
        <f>VLOOKUP(A55,'11 - FINANCEIRA'!A:AE,24,0)</f>
        <v>0</v>
      </c>
      <c r="E55" s="1440" t="str">
        <f>VLOOKUP(A55,'11 - FINANCEIRA'!A:AC,4,0)</f>
        <v>m³</v>
      </c>
      <c r="F55" s="16" t="str">
        <f t="shared" si="0"/>
        <v>2.4.3.3</v>
      </c>
      <c r="G55" s="17" t="str">
        <f t="shared" si="4"/>
        <v>NULO</v>
      </c>
      <c r="H55" s="17">
        <f t="shared" si="5"/>
        <v>0</v>
      </c>
      <c r="K55" s="18"/>
    </row>
    <row r="56" spans="1:11" hidden="1">
      <c r="A56" s="15" t="str">
        <f>'11 - FINANCEIRA'!A56</f>
        <v>2.4.3.4</v>
      </c>
      <c r="B56" s="19">
        <f>'11 - FINANCEIRA'!B56</f>
        <v>96995</v>
      </c>
      <c r="C56" s="1438" t="str">
        <f>VLOOKUP(A56,'11 - FINANCEIRA'!A:AC,3,FALSE)</f>
        <v>Reaterro Manual Apiolado com Soquete AF_10/2017</v>
      </c>
      <c r="D56" s="1439">
        <f>VLOOKUP(A56,'11 - FINANCEIRA'!A:AE,24,0)</f>
        <v>0</v>
      </c>
      <c r="E56" s="1440" t="str">
        <f>VLOOKUP(A56,'11 - FINANCEIRA'!A:AC,4,0)</f>
        <v>m³</v>
      </c>
      <c r="F56" s="16" t="str">
        <f t="shared" si="0"/>
        <v>2.4.3.4</v>
      </c>
      <c r="G56" s="17" t="str">
        <f t="shared" si="4"/>
        <v>NULO</v>
      </c>
      <c r="H56" s="17">
        <f>SUM(H57:H112)</f>
        <v>81923</v>
      </c>
      <c r="K56" s="18"/>
    </row>
    <row r="57" spans="1:11" hidden="1">
      <c r="A57" s="15" t="str">
        <f>'11 - FINANCEIRA'!A57</f>
        <v>2.4.3.5</v>
      </c>
      <c r="B57" s="19">
        <f>VLOOKUP(A57,'11 - FINANCEIRA'!A:AC,2,0)</f>
        <v>93382</v>
      </c>
      <c r="C57" s="1438" t="str">
        <f>VLOOKUP(A57,'11 - FINANCEIRA'!A:AC,3,FALSE)</f>
        <v>Reaterro Manual De Valas Com Compactação Mecanizada. Af_04/2016</v>
      </c>
      <c r="D57" s="1439">
        <f>VLOOKUP(A57,'11 - FINANCEIRA'!A:AE,24,0)</f>
        <v>0</v>
      </c>
      <c r="E57" s="1440" t="str">
        <f>VLOOKUP(A57,'11 - FINANCEIRA'!A:AC,4,0)</f>
        <v>m³</v>
      </c>
      <c r="F57" s="16" t="str">
        <f t="shared" si="0"/>
        <v>2.4.3.5</v>
      </c>
      <c r="G57" s="17" t="str">
        <f t="shared" si="4"/>
        <v>NULO</v>
      </c>
      <c r="H57" s="17">
        <f t="shared" si="5"/>
        <v>0</v>
      </c>
    </row>
    <row r="58" spans="1:11" hidden="1">
      <c r="A58" s="15" t="str">
        <f>'11 - FINANCEIRA'!A58</f>
        <v>2.4.3.6</v>
      </c>
      <c r="B58" s="1789">
        <f>VLOOKUP(A58,'11 - FINANCEIRA'!A:AC,2,0)</f>
        <v>30304</v>
      </c>
      <c r="C58" s="1444" t="str">
        <f>VLOOKUP(A58,'11 - FINANCEIRA'!A:AC,3,FALSE)</f>
        <v>Índice de preço para remoção de entulho decorrente da execução de obras - BDI = 14,02</v>
      </c>
      <c r="D58" s="1793">
        <f>VLOOKUP(A58,'11 - FINANCEIRA'!A:AE,24,0)</f>
        <v>0</v>
      </c>
      <c r="E58" s="1795" t="str">
        <f>VLOOKUP(A58,'11 - FINANCEIRA'!A:AC,4,0)</f>
        <v>m³</v>
      </c>
      <c r="F58" s="16" t="str">
        <f t="shared" si="0"/>
        <v>2.4.3.6</v>
      </c>
      <c r="G58" s="17" t="str">
        <f t="shared" si="4"/>
        <v>NULO</v>
      </c>
      <c r="H58" s="17">
        <f t="shared" si="5"/>
        <v>0</v>
      </c>
    </row>
    <row r="59" spans="1:11">
      <c r="A59" s="15" t="str">
        <f>'11 - FINANCEIRA'!A59</f>
        <v>2.5</v>
      </c>
      <c r="B59" s="1856" t="str">
        <f>A59</f>
        <v>2.5</v>
      </c>
      <c r="C59" s="1835" t="s">
        <v>187</v>
      </c>
      <c r="D59" s="1835"/>
      <c r="E59" s="1836"/>
      <c r="F59" s="16" t="str">
        <f t="shared" si="0"/>
        <v>2.5</v>
      </c>
      <c r="G59" s="17" t="str">
        <f t="shared" si="4"/>
        <v>NULO</v>
      </c>
      <c r="H59" s="17">
        <f t="shared" si="5"/>
        <v>0</v>
      </c>
    </row>
    <row r="60" spans="1:11" ht="25.5" hidden="1">
      <c r="A60" s="15" t="str">
        <f>'11 - FINANCEIRA'!A60</f>
        <v>2.5.1</v>
      </c>
      <c r="B60" s="1802">
        <f>VLOOKUP(A60,'11 - FINANCEIRA'!A:AC,2,0)</f>
        <v>6817851</v>
      </c>
      <c r="C60" s="1806" t="str">
        <f>VLOOKUP(A60,'11 - FINANCEIRA'!A:AC,3,FALSE)</f>
        <v>Fornecimento e assentamento de galeria de concreto pré-moldado 3 X 2 metros fechada (tampa fixa)</v>
      </c>
      <c r="D60" s="1807">
        <f>VLOOKUP(A60,'11 - FINANCEIRA'!A:AE,24,0)</f>
        <v>0</v>
      </c>
      <c r="E60" s="1812" t="str">
        <f>VLOOKUP(A60,'11 - FINANCEIRA'!A:AC,4,0)</f>
        <v>un</v>
      </c>
      <c r="F60" s="16" t="str">
        <f t="shared" si="0"/>
        <v>2.5.1</v>
      </c>
      <c r="G60" s="17" t="str">
        <f t="shared" si="4"/>
        <v>NULO</v>
      </c>
      <c r="H60" s="17">
        <f t="shared" si="5"/>
        <v>0</v>
      </c>
    </row>
    <row r="61" spans="1:11" ht="25.5" hidden="1">
      <c r="A61" s="15" t="str">
        <f>'11 - FINANCEIRA'!A61</f>
        <v>2.5.2</v>
      </c>
      <c r="B61" s="1789">
        <f>VLOOKUP(A61,'11 - FINANCEIRA'!A:AC,2,0)</f>
        <v>6817851</v>
      </c>
      <c r="C61" s="1444" t="str">
        <f>VLOOKUP(A61,'11 - FINANCEIRA'!A:AC,3,FALSE)</f>
        <v>Fornecimento e assentamento de galeria de concreto pré-moldado 3 X 2 metros aberta (tampa removível)</v>
      </c>
      <c r="D61" s="1793">
        <f>VLOOKUP(A61,'11 - FINANCEIRA'!A:AE,24,0)</f>
        <v>0</v>
      </c>
      <c r="E61" s="1795" t="str">
        <f>VLOOKUP(A61,'11 - FINANCEIRA'!A:AC,4,0)</f>
        <v>un</v>
      </c>
      <c r="F61" s="16" t="str">
        <f t="shared" si="0"/>
        <v>2.5.2</v>
      </c>
      <c r="G61" s="17" t="str">
        <f t="shared" si="4"/>
        <v>NULO</v>
      </c>
      <c r="H61" s="17">
        <f t="shared" si="5"/>
        <v>0</v>
      </c>
    </row>
    <row r="62" spans="1:11">
      <c r="A62" s="15" t="str">
        <f>'11 - FINANCEIRA'!A62</f>
        <v>2.5.3</v>
      </c>
      <c r="B62" s="1850">
        <f>VLOOKUP(A62,'11 - FINANCEIRA'!A:AC,2,0)</f>
        <v>1106057</v>
      </c>
      <c r="C62" s="1851" t="str">
        <f>VLOOKUP(A62,'11 - FINANCEIRA'!A:AC,3,FALSE)</f>
        <v>Concreto magro - confecção em betoneira e lançamento manual - areia e brita comerciais</v>
      </c>
      <c r="D62" s="1852">
        <f>'11 - FINANCEIRA'!Z62</f>
        <v>77.280000000000015</v>
      </c>
      <c r="E62" s="1853" t="str">
        <f>VLOOKUP(A62,'11 - FINANCEIRA'!A:AC,4,0)</f>
        <v>m³</v>
      </c>
      <c r="F62" s="16" t="str">
        <f t="shared" si="0"/>
        <v>2.5.3</v>
      </c>
      <c r="G62" s="17" t="str">
        <f t="shared" si="4"/>
        <v>POSITIVO</v>
      </c>
      <c r="H62" s="17">
        <f t="shared" si="5"/>
        <v>1</v>
      </c>
    </row>
    <row r="63" spans="1:11" ht="25.5">
      <c r="A63" s="15" t="str">
        <f>'11 - FINANCEIRA'!A63</f>
        <v>2.5.4</v>
      </c>
      <c r="B63" s="19">
        <f>VLOOKUP(A63,'11 - FINANCEIRA'!A:AC,2,0)</f>
        <v>1107890</v>
      </c>
      <c r="C63" s="1438" t="str">
        <f>VLOOKUP(A63,'11 - FINANCEIRA'!A:AC,3,FALSE)</f>
        <v>Concreto fck = 30 MPa - confecção em central dosadora de 30 m³/h - areia e brita comerciais</v>
      </c>
      <c r="D63" s="1439">
        <f>VLOOKUP(A63,'11 - FINANCEIRA'!A:AE,26,0)</f>
        <v>20.480000000000018</v>
      </c>
      <c r="E63" s="1787" t="str">
        <f>VLOOKUP(A63,'11 - FINANCEIRA'!A:AC,4,0)</f>
        <v>m³</v>
      </c>
      <c r="F63" s="16" t="str">
        <f t="shared" si="0"/>
        <v>2.5.4</v>
      </c>
      <c r="G63" s="17" t="str">
        <f t="shared" si="4"/>
        <v>POSITIVO</v>
      </c>
      <c r="H63" s="17">
        <f t="shared" si="5"/>
        <v>1</v>
      </c>
    </row>
    <row r="64" spans="1:11">
      <c r="A64" s="15" t="str">
        <f>'11 - FINANCEIRA'!A64</f>
        <v>2.5.5</v>
      </c>
      <c r="B64" s="1845">
        <f>VLOOKUP(A64,'11 - FINANCEIRA'!A:AC,2,0)</f>
        <v>25950</v>
      </c>
      <c r="C64" s="1846" t="str">
        <f>VLOOKUP(A64,'11 - FINANCEIRA'!A:AC,3,FALSE)</f>
        <v xml:space="preserve">Serviço de Bombeamento De Concreto </v>
      </c>
      <c r="D64" s="1847">
        <f>VLOOKUP(A64,'11 - FINANCEIRA'!A:AE,26,0)</f>
        <v>20.480000000000018</v>
      </c>
      <c r="E64" s="1848" t="str">
        <f>VLOOKUP(A64,'11 - FINANCEIRA'!A:AC,4,0)</f>
        <v>m³</v>
      </c>
      <c r="F64" s="16" t="str">
        <f>A64</f>
        <v>2.5.5</v>
      </c>
      <c r="G64" s="17" t="str">
        <f t="shared" si="4"/>
        <v>POSITIVO</v>
      </c>
      <c r="H64" s="17">
        <f t="shared" si="5"/>
        <v>1</v>
      </c>
    </row>
    <row r="65" spans="1:8" hidden="1">
      <c r="A65" s="15" t="str">
        <f>'11 - FINANCEIRA'!A65</f>
        <v>2.5.6</v>
      </c>
      <c r="B65" s="1809" t="str">
        <f>VLOOKUP(A65,'11 - FINANCEIRA'!A:AC,2,0)</f>
        <v>3762-S160326</v>
      </c>
      <c r="C65" s="1810" t="str">
        <f>VLOOKUP(A65,'11 - FINANCEIRA'!A:AC,3,FALSE)</f>
        <v>Barra chata em qualquer dimensão</v>
      </c>
      <c r="D65" s="1811">
        <f>VLOOKUP(A65,'11 - FINANCEIRA'!A:AE,20,0)</f>
        <v>0</v>
      </c>
      <c r="E65" s="1797" t="str">
        <f>VLOOKUP(A65,'11 - FINANCEIRA'!A:AC,4,0)</f>
        <v>kg</v>
      </c>
      <c r="F65" s="16" t="str">
        <f t="shared" ref="F65:F129" si="6">A65</f>
        <v>2.5.6</v>
      </c>
      <c r="G65" s="17" t="str">
        <f t="shared" si="4"/>
        <v>NULO</v>
      </c>
      <c r="H65" s="17">
        <f t="shared" ref="H65:H70" si="7">SUM(H66:H135)</f>
        <v>40960</v>
      </c>
    </row>
    <row r="66" spans="1:8">
      <c r="A66" s="15" t="str">
        <f>'11 - FINANCEIRA'!A66</f>
        <v>2.5.7</v>
      </c>
      <c r="B66" s="1837">
        <f>VLOOKUP(A66,'11 - FINANCEIRA'!A:AC,2,0)</f>
        <v>407819</v>
      </c>
      <c r="C66" s="1838" t="str">
        <f>VLOOKUP(A66,'11 - FINANCEIRA'!A:AC,3,FALSE)</f>
        <v>Armação em aço CA-50 - fornecimento, preparo e colocação</v>
      </c>
      <c r="D66" s="1839">
        <f>VLOOKUP(A66,'11 - FINANCEIRA'!A:AE,26,0)</f>
        <v>1216.1919999999991</v>
      </c>
      <c r="E66" s="1840" t="str">
        <f>VLOOKUP(A66,'11 - FINANCEIRA'!A:AC,4,0)</f>
        <v>kg</v>
      </c>
      <c r="F66" s="16" t="str">
        <f t="shared" si="6"/>
        <v>2.5.7</v>
      </c>
      <c r="G66" s="17" t="str">
        <f t="shared" si="4"/>
        <v>POSITIVO</v>
      </c>
      <c r="H66" s="17">
        <f t="shared" si="7"/>
        <v>20480</v>
      </c>
    </row>
    <row r="67" spans="1:8" ht="25.5" hidden="1">
      <c r="A67" s="15" t="str">
        <f>'11 - FINANCEIRA'!A67</f>
        <v>2.5.8</v>
      </c>
      <c r="B67" s="1802">
        <f>VLOOKUP(A67,'11 - FINANCEIRA'!A:AC,2,0)</f>
        <v>100322</v>
      </c>
      <c r="C67" s="1803" t="str">
        <f>VLOOKUP(A67,'11 - FINANCEIRA'!A:AC,3,FALSE)</f>
        <v>Lastro Com Material Granular (Pedra Britada N.3), Aplicado Em Pisos Ou Lajes Sobre Solo, Espessura De *10 Cm*. Af_07/2019</v>
      </c>
      <c r="D67" s="1807">
        <f>VLOOKUP(A67,'11 - FINANCEIRA'!A:AE,26,0)</f>
        <v>0</v>
      </c>
      <c r="E67" s="1805" t="str">
        <f>VLOOKUP(A67,'11 - FINANCEIRA'!A:AC,4,0)</f>
        <v>m³</v>
      </c>
      <c r="F67" s="16" t="str">
        <f t="shared" si="6"/>
        <v>2.5.8</v>
      </c>
      <c r="G67" s="17" t="str">
        <f t="shared" si="4"/>
        <v>NULO</v>
      </c>
      <c r="H67" s="17">
        <f t="shared" si="7"/>
        <v>10240</v>
      </c>
    </row>
    <row r="68" spans="1:8" hidden="1">
      <c r="A68" s="15" t="str">
        <f>'11 - FINANCEIRA'!A68</f>
        <v>2.5.9</v>
      </c>
      <c r="B68" s="19">
        <v>41264</v>
      </c>
      <c r="C68" s="20" t="s">
        <v>463</v>
      </c>
      <c r="D68" s="1439">
        <f>VLOOKUP(A68,'11 - FINANCEIRA'!A:AE,26,0)</f>
        <v>0</v>
      </c>
      <c r="E68" s="22" t="s">
        <v>476</v>
      </c>
      <c r="F68" s="16" t="str">
        <f t="shared" si="6"/>
        <v>2.5.9</v>
      </c>
      <c r="G68" s="17" t="str">
        <f t="shared" si="4"/>
        <v>NULO</v>
      </c>
      <c r="H68" s="17">
        <f t="shared" si="7"/>
        <v>5120</v>
      </c>
    </row>
    <row r="69" spans="1:8" hidden="1">
      <c r="A69" s="15" t="str">
        <f>'11 - FINANCEIRA'!A69</f>
        <v>2.5.10</v>
      </c>
      <c r="B69" s="1789">
        <v>50501</v>
      </c>
      <c r="C69" s="1790" t="s">
        <v>464</v>
      </c>
      <c r="D69" s="1793">
        <f>VLOOKUP(A69,'11 - FINANCEIRA'!A:AE,26,0)</f>
        <v>0</v>
      </c>
      <c r="E69" s="1792" t="s">
        <v>476</v>
      </c>
      <c r="F69" s="16" t="str">
        <f t="shared" si="6"/>
        <v>2.5.10</v>
      </c>
      <c r="G69" s="17" t="str">
        <f t="shared" si="4"/>
        <v>NULO</v>
      </c>
      <c r="H69" s="17">
        <f t="shared" si="7"/>
        <v>2560</v>
      </c>
    </row>
    <row r="70" spans="1:8">
      <c r="A70" s="15" t="str">
        <f>'11 - FINANCEIRA'!A70</f>
        <v>2.5.11</v>
      </c>
      <c r="B70" s="1837">
        <f>'11 - FINANCEIRA'!B70</f>
        <v>7050100030</v>
      </c>
      <c r="C70" s="1838" t="str">
        <f>VLOOKUP(A70,'11 - FINANCEIRA'!A:AC,3,FALSE)</f>
        <v>Escoramento cavas com prancha metalica</v>
      </c>
      <c r="D70" s="1839">
        <f>VLOOKUP(A70,'11 - FINANCEIRA'!A:AE,26,0)</f>
        <v>285.25</v>
      </c>
      <c r="E70" s="1840" t="str">
        <f>VLOOKUP(A70,'11 - FINANCEIRA'!A:AC,4,0)</f>
        <v>m²</v>
      </c>
      <c r="F70" s="16" t="str">
        <f t="shared" si="6"/>
        <v>2.5.11</v>
      </c>
      <c r="G70" s="17" t="str">
        <f t="shared" si="4"/>
        <v>POSITIVO</v>
      </c>
      <c r="H70" s="17">
        <f t="shared" si="7"/>
        <v>1280</v>
      </c>
    </row>
    <row r="71" spans="1:8" hidden="1">
      <c r="A71" s="15">
        <f>'11 - FINANCEIRA'!A71</f>
        <v>0</v>
      </c>
      <c r="B71" s="1809"/>
      <c r="C71" s="1810"/>
      <c r="D71" s="1811"/>
      <c r="E71" s="1797"/>
      <c r="F71" s="16"/>
    </row>
    <row r="72" spans="1:8">
      <c r="A72" s="15" t="str">
        <f>'11 - FINANCEIRA'!A72</f>
        <v>3.0</v>
      </c>
      <c r="B72" s="1841" t="str">
        <f>A72</f>
        <v>3.0</v>
      </c>
      <c r="C72" s="1842" t="str">
        <f>'11 - FINANCEIRA'!B72</f>
        <v>Galeria Ernesto Guimarães</v>
      </c>
      <c r="D72" s="1842"/>
      <c r="E72" s="1843"/>
      <c r="F72" s="16" t="str">
        <f t="shared" si="6"/>
        <v>3.0</v>
      </c>
      <c r="G72" s="17" t="str">
        <f t="shared" si="4"/>
        <v>NULO</v>
      </c>
      <c r="H72" s="17">
        <f t="shared" ref="H72:H77" si="8">SUM(H73:H142)</f>
        <v>640</v>
      </c>
    </row>
    <row r="73" spans="1:8">
      <c r="A73" s="15" t="str">
        <f>'11 - FINANCEIRA'!A73</f>
        <v>3.1</v>
      </c>
      <c r="B73" s="1861" t="str">
        <f>A73</f>
        <v>3.1</v>
      </c>
      <c r="C73" s="1859" t="str">
        <f>'11 - FINANCEIRA'!B73</f>
        <v>Terraplanagem e Pavimentação</v>
      </c>
      <c r="D73" s="1859"/>
      <c r="E73" s="1860"/>
      <c r="F73" s="16" t="str">
        <f t="shared" si="6"/>
        <v>3.1</v>
      </c>
      <c r="G73" s="17" t="str">
        <f t="shared" si="4"/>
        <v>NULO</v>
      </c>
      <c r="H73" s="17">
        <f t="shared" si="8"/>
        <v>320</v>
      </c>
    </row>
    <row r="74" spans="1:8" hidden="1">
      <c r="A74" s="15" t="str">
        <f>'11 - FINANCEIRA'!A74</f>
        <v>3.1.1</v>
      </c>
      <c r="B74" s="1802">
        <f>'11 - FINANCEIRA'!B74</f>
        <v>4805757</v>
      </c>
      <c r="C74" s="1806" t="str">
        <f>VLOOKUP(A74,'11 - FINANCEIRA'!A:AC,3,FALSE)</f>
        <v>Escavação mecânica de vala em material de 1ª categoria</v>
      </c>
      <c r="D74" s="1807">
        <f>VLOOKUP(A74,'11 - FINANCEIRA'!A:AE,26,0)</f>
        <v>0</v>
      </c>
      <c r="E74" s="1812" t="str">
        <f>VLOOKUP(A74,'11 - FINANCEIRA'!A:AC,4,0)</f>
        <v>m³</v>
      </c>
      <c r="F74" s="16" t="str">
        <f t="shared" si="6"/>
        <v>3.1.1</v>
      </c>
      <c r="G74" s="17" t="str">
        <f t="shared" si="4"/>
        <v>NULO</v>
      </c>
      <c r="H74" s="17">
        <f t="shared" si="8"/>
        <v>160</v>
      </c>
    </row>
    <row r="75" spans="1:8" hidden="1">
      <c r="A75" s="15" t="str">
        <f>'11 - FINANCEIRA'!A75</f>
        <v>3.1.2</v>
      </c>
      <c r="B75" s="19">
        <f>'11 - FINANCEIRA'!B75</f>
        <v>5503041</v>
      </c>
      <c r="C75" s="1438" t="str">
        <f>VLOOKUP(A75,'11 - FINANCEIRA'!A:AC,3,FALSE)</f>
        <v>Compactação de aterros a 100% do Proctor intermediário</v>
      </c>
      <c r="D75" s="1439">
        <f>VLOOKUP(A75,'11 - FINANCEIRA'!A:AE,20,0)</f>
        <v>0</v>
      </c>
      <c r="E75" s="1440" t="str">
        <f>VLOOKUP(A75,'11 - FINANCEIRA'!A:AC,4,0)</f>
        <v>m³</v>
      </c>
      <c r="F75" s="16" t="str">
        <f t="shared" si="6"/>
        <v>3.1.2</v>
      </c>
      <c r="G75" s="17" t="str">
        <f t="shared" si="4"/>
        <v>NULO</v>
      </c>
      <c r="H75" s="17">
        <f t="shared" si="8"/>
        <v>80</v>
      </c>
    </row>
    <row r="76" spans="1:8" ht="25.5" hidden="1">
      <c r="A76" s="15" t="str">
        <f>'11 - FINANCEIRA'!A76</f>
        <v>3.1.3</v>
      </c>
      <c r="B76" s="19">
        <f>'11 - FINANCEIRA'!B76</f>
        <v>94340</v>
      </c>
      <c r="C76" s="1438" t="str">
        <f>VLOOKUP(A76,'11 - FINANCEIRA'!A:AC,3,FALSE)</f>
        <v>Aterro Mecanizado e vala com retroescavadeira (capacidade da caçamba da retro:0,26m² (potência:88HP), largura até 0,8m profundidade de 1,5 a 3,0 m com areia para aterro</v>
      </c>
      <c r="D76" s="1439">
        <f>VLOOKUP(A76,'11 - FINANCEIRA'!A:AE,26,0)</f>
        <v>0</v>
      </c>
      <c r="E76" s="1787" t="str">
        <f>VLOOKUP(A76,'11 - FINANCEIRA'!A:AC,4,0)</f>
        <v>m³</v>
      </c>
      <c r="F76" s="16" t="str">
        <f t="shared" si="6"/>
        <v>3.1.3</v>
      </c>
      <c r="G76" s="17" t="str">
        <f t="shared" si="4"/>
        <v>NULO</v>
      </c>
      <c r="H76" s="17">
        <f t="shared" si="8"/>
        <v>40</v>
      </c>
    </row>
    <row r="77" spans="1:8" hidden="1">
      <c r="A77" s="15" t="str">
        <f>'11 - FINANCEIRA'!A77</f>
        <v>3.1.4</v>
      </c>
      <c r="B77" s="1789">
        <f>'11 - FINANCEIRA'!B77</f>
        <v>42045</v>
      </c>
      <c r="C77" s="1790" t="str">
        <f>VLOOKUP(A77,'11 - FINANCEIRA'!A:AC,3,FALSE)</f>
        <v>Aquisição de solo de jazida comercial (saibreira) - BDI = 14,02</v>
      </c>
      <c r="D77" s="1791">
        <f>VLOOKUP(A77,'11 - FINANCEIRA'!A:AE,20,0)</f>
        <v>0</v>
      </c>
      <c r="E77" s="1792" t="str">
        <f>VLOOKUP(A77,'11 - FINANCEIRA'!A:AC,4,0)</f>
        <v>m³</v>
      </c>
      <c r="F77" s="16" t="str">
        <f t="shared" si="6"/>
        <v>3.1.4</v>
      </c>
      <c r="G77" s="17" t="str">
        <f t="shared" si="4"/>
        <v>NULO</v>
      </c>
      <c r="H77" s="17">
        <f t="shared" si="8"/>
        <v>20</v>
      </c>
    </row>
    <row r="78" spans="1:8">
      <c r="A78" s="15" t="str">
        <f>'11 - FINANCEIRA'!A78</f>
        <v>3.1.5</v>
      </c>
      <c r="B78" s="1850">
        <f>'11 - FINANCEIRA'!B78</f>
        <v>5914336</v>
      </c>
      <c r="C78" s="1851" t="str">
        <f>VLOOKUP(A78,'11 - FINANCEIRA'!A:AC,3,FALSE)</f>
        <v xml:space="preserve">Transporte com caminhão basculante de 12m³ - rodovia pavimentada </v>
      </c>
      <c r="D78" s="1852">
        <f>VLOOKUP(A78,'11 - FINANCEIRA'!A:AE,26,0)</f>
        <v>3352.2489999999998</v>
      </c>
      <c r="E78" s="1857" t="str">
        <f>VLOOKUP(A78,'11 - FINANCEIRA'!A:AC,4,0)</f>
        <v>tkm</v>
      </c>
      <c r="F78" s="16" t="str">
        <f t="shared" si="6"/>
        <v>3.1.5</v>
      </c>
      <c r="H78" s="17">
        <f>SUM(H79:H82)</f>
        <v>3</v>
      </c>
    </row>
    <row r="79" spans="1:8" ht="25.5">
      <c r="A79" s="15" t="str">
        <f>'11 - FINANCEIRA'!A79</f>
        <v>3.1.6</v>
      </c>
      <c r="B79" s="1845">
        <f>'11 - FINANCEIRA'!B79</f>
        <v>60024</v>
      </c>
      <c r="C79" s="1846" t="str">
        <f>VLOOKUP(A79,'11 - FINANCEIRA'!A:AC,3,FALSE)</f>
        <v>Transporte de materiais para DMT acima de 15 KM (Caminhão basculante) - solo de jazida comercial (saibreira)null - DMT = 1,30</v>
      </c>
      <c r="D79" s="1847">
        <f>VLOOKUP(A79,'11 - FINANCEIRA'!A:AE,26,0)</f>
        <v>68.816000000000031</v>
      </c>
      <c r="E79" s="1854" t="str">
        <f>VLOOKUP(A79,'11 - FINANCEIRA'!A:AC,4,0)</f>
        <v>T</v>
      </c>
      <c r="F79" s="16" t="str">
        <f t="shared" si="6"/>
        <v>3.1.6</v>
      </c>
      <c r="G79" s="17" t="str">
        <f t="shared" si="4"/>
        <v>POSITIVO</v>
      </c>
      <c r="H79" s="17">
        <f t="shared" si="5"/>
        <v>1</v>
      </c>
    </row>
    <row r="80" spans="1:8" hidden="1">
      <c r="A80" s="15" t="str">
        <f>'11 - FINANCEIRA'!A80</f>
        <v>3.1.7</v>
      </c>
      <c r="B80" s="1809">
        <f>'11 - FINANCEIRA'!B80</f>
        <v>645387</v>
      </c>
      <c r="C80" s="1810" t="str">
        <f>VLOOKUP(A80,'11 - FINANCEIRA'!A:AC,3,FALSE)</f>
        <v>Destinação Final de Resíduos Classe II A em aterro sanitário controlado - BDI = 14,02</v>
      </c>
      <c r="D80" s="1811">
        <f>VLOOKUP(A80,'11 - FINANCEIRA'!A:AE,26,0)</f>
        <v>0</v>
      </c>
      <c r="E80" s="1797" t="str">
        <f>VLOOKUP(A80,'11 - FINANCEIRA'!A:AC,4,0)</f>
        <v>T</v>
      </c>
      <c r="F80" s="16" t="str">
        <f t="shared" si="6"/>
        <v>3.1.7</v>
      </c>
      <c r="G80" s="17" t="str">
        <f t="shared" si="4"/>
        <v>NULO</v>
      </c>
      <c r="H80" s="17">
        <f t="shared" si="5"/>
        <v>0</v>
      </c>
    </row>
    <row r="81" spans="1:8">
      <c r="A81" s="15" t="str">
        <f>'11 - FINANCEIRA'!A81</f>
        <v>3.1.8</v>
      </c>
      <c r="B81" s="1850">
        <f>'11 - FINANCEIRA'!B81</f>
        <v>4011549</v>
      </c>
      <c r="C81" s="1851" t="str">
        <f>VLOOKUP(A81,'11 - FINANCEIRA'!A:AC,3,FALSE)</f>
        <v>Base ou sub-base de brita graduada executada com vibroacabadora - brita comercial</v>
      </c>
      <c r="D81" s="1852">
        <f>VLOOKUP(A81,'11 - FINANCEIRA'!A:AE,26,0)</f>
        <v>30.36</v>
      </c>
      <c r="E81" s="1857" t="str">
        <f>VLOOKUP(A81,'11 - FINANCEIRA'!A:AC,4,0)</f>
        <v>m³</v>
      </c>
      <c r="F81" s="16" t="str">
        <f t="shared" si="6"/>
        <v>3.1.8</v>
      </c>
      <c r="G81" s="17" t="str">
        <f t="shared" si="4"/>
        <v>POSITIVO</v>
      </c>
      <c r="H81" s="17">
        <f t="shared" si="5"/>
        <v>1</v>
      </c>
    </row>
    <row r="82" spans="1:8" ht="25.5">
      <c r="A82" s="15" t="str">
        <f>'11 - FINANCEIRA'!A82</f>
        <v>3.1.9</v>
      </c>
      <c r="B82" s="19">
        <f>'11 - FINANCEIRA'!B82</f>
        <v>95995</v>
      </c>
      <c r="C82" s="1438" t="str">
        <f>VLOOKUP(A82,'11 - FINANCEIRA'!A:AC,3,FALSE)</f>
        <v>Execução de pavimento com aplicação de concreto asfáltico camada de rolamento - Exclusive carga e transporte AF_11/2019</v>
      </c>
      <c r="D82" s="1439">
        <f>VLOOKUP(A82,'11 - FINANCEIRA'!A:AE,26,0)</f>
        <v>17.204000000000001</v>
      </c>
      <c r="E82" s="1440" t="str">
        <f>VLOOKUP(A82,'11 - FINANCEIRA'!A:AC,4,0)</f>
        <v>m³</v>
      </c>
      <c r="F82" s="16" t="str">
        <f t="shared" si="6"/>
        <v>3.1.9</v>
      </c>
      <c r="G82" s="17" t="str">
        <f t="shared" si="4"/>
        <v>POSITIVO</v>
      </c>
      <c r="H82" s="17">
        <f t="shared" si="5"/>
        <v>1</v>
      </c>
    </row>
    <row r="83" spans="1:8">
      <c r="A83" s="15" t="str">
        <f>'11 - FINANCEIRA'!A83</f>
        <v>3.1.10</v>
      </c>
      <c r="B83" s="19">
        <f>'11 - FINANCEIRA'!B83</f>
        <v>4011352</v>
      </c>
      <c r="C83" s="1438" t="str">
        <f>VLOOKUP(A83,'11 - FINANCEIRA'!A:AC,3,FALSE)</f>
        <v>Imprimação com emulsão asfáltica</v>
      </c>
      <c r="D83" s="1439">
        <f>'11 - FINANCEIRA'!Z83</f>
        <v>202.39999999999998</v>
      </c>
      <c r="E83" s="1440" t="str">
        <f>VLOOKUP(A83,'11 - FINANCEIRA'!A:AC,4,0)</f>
        <v>m²</v>
      </c>
      <c r="F83" s="16" t="str">
        <f t="shared" si="6"/>
        <v>3.1.10</v>
      </c>
      <c r="H83" s="17">
        <f>SUM(H84:H90)</f>
        <v>2</v>
      </c>
    </row>
    <row r="84" spans="1:8">
      <c r="A84" s="15" t="str">
        <f>'11 - FINANCEIRA'!A84</f>
        <v>3.1.11</v>
      </c>
      <c r="B84" s="19">
        <f>'11 - FINANCEIRA'!B84</f>
        <v>101196</v>
      </c>
      <c r="C84" s="1438" t="str">
        <f>VLOOKUP(A84,'11 - FINANCEIRA'!A:AC,3,FALSE)</f>
        <v>Emulsão Asfáltica para Imprimação (EAI), fornecimento - BDI = 14,02</v>
      </c>
      <c r="D84" s="1439">
        <f>'11 - FINANCEIRA'!Z84</f>
        <v>0.16191999999999998</v>
      </c>
      <c r="E84" s="1440" t="str">
        <f>VLOOKUP(A84,'11 - FINANCEIRA'!A:AC,4,0)</f>
        <v>t</v>
      </c>
      <c r="F84" s="16" t="str">
        <f t="shared" si="6"/>
        <v>3.1.11</v>
      </c>
      <c r="G84" s="17" t="str">
        <f t="shared" si="4"/>
        <v>POSITIVO</v>
      </c>
      <c r="H84" s="17">
        <f t="shared" si="5"/>
        <v>1</v>
      </c>
    </row>
    <row r="85" spans="1:8">
      <c r="A85" s="15" t="str">
        <f>'11 - FINANCEIRA'!A85</f>
        <v>3.1.12</v>
      </c>
      <c r="B85" s="1845">
        <f>'11 - FINANCEIRA'!B85</f>
        <v>30304</v>
      </c>
      <c r="C85" s="1846" t="str">
        <f>VLOOKUP(A85,'11 - FINANCEIRA'!A:AC,3,FALSE)</f>
        <v>Índice de preço para remoção de entulho decorrente da execução de obras  - BDI = 14,02</v>
      </c>
      <c r="D85" s="1847">
        <f>VLOOKUP(A85,'11 - FINANCEIRA'!A:AE,26,0)</f>
        <v>-1339.7399999999998</v>
      </c>
      <c r="E85" s="1848" t="str">
        <f>VLOOKUP(A85,'11 - FINANCEIRA'!A:AC,4,0)</f>
        <v>m³</v>
      </c>
      <c r="F85" s="16" t="str">
        <f t="shared" si="6"/>
        <v>3.1.12</v>
      </c>
      <c r="G85" s="17" t="str">
        <f t="shared" si="4"/>
        <v>NEGATIVO</v>
      </c>
      <c r="H85" s="17">
        <f t="shared" si="5"/>
        <v>1</v>
      </c>
    </row>
    <row r="86" spans="1:8" hidden="1">
      <c r="A86" s="15" t="str">
        <f>'11 - FINANCEIRA'!A86</f>
        <v>3.2</v>
      </c>
      <c r="B86" s="1201" t="str">
        <f>A86</f>
        <v>3.2</v>
      </c>
      <c r="C86" s="1813" t="str">
        <f>'11 - FINANCEIRA'!B86</f>
        <v>Drenagem Pluvial</v>
      </c>
      <c r="D86" s="1814"/>
      <c r="E86" s="1815"/>
      <c r="F86" s="16" t="str">
        <f t="shared" si="6"/>
        <v>3.2</v>
      </c>
      <c r="G86" s="17" t="str">
        <f t="shared" si="4"/>
        <v>NULO</v>
      </c>
      <c r="H86" s="17">
        <f t="shared" si="5"/>
        <v>0</v>
      </c>
    </row>
    <row r="87" spans="1:8" ht="38.25" hidden="1">
      <c r="A87" s="15" t="str">
        <f>'11 - FINANCEIRA'!A87</f>
        <v>3.2.1</v>
      </c>
      <c r="B87" s="19" t="str">
        <f>'11 - FINANCEIRA'!B87</f>
        <v>5199-83627</v>
      </c>
      <c r="C87" s="1438" t="str">
        <f>VLOOKUP(A87,'11 - FINANCEIRA'!A:AC,3,FALSE)</f>
        <v>Tampão Fofo Articulado, Classe B125 Carga Max 12,5 T, Redondo Tampa 600 Mm, Rede Pluvial/Esgoto, P = Chamine Cx Areia / Poco Visita Assentado Com Arg Cim/Areia 1:4, Fornecimento E Assentamento</v>
      </c>
      <c r="D87" s="1439">
        <f>VLOOKUP(A87,'11 - FINANCEIRA'!A:AE,26,0)</f>
        <v>0</v>
      </c>
      <c r="E87" s="1440" t="str">
        <f>VLOOKUP(A87,'11 - FINANCEIRA'!A:AC,4,0)</f>
        <v>un</v>
      </c>
      <c r="F87" s="16" t="str">
        <f t="shared" si="6"/>
        <v>3.2.1</v>
      </c>
      <c r="G87" s="17" t="str">
        <f t="shared" si="4"/>
        <v>NULO</v>
      </c>
      <c r="H87" s="17">
        <f t="shared" si="5"/>
        <v>0</v>
      </c>
    </row>
    <row r="88" spans="1:8" hidden="1">
      <c r="A88" s="15" t="str">
        <f>'11 - FINANCEIRA'!A88</f>
        <v>3.2.2</v>
      </c>
      <c r="B88" s="19">
        <f>'11 - FINANCEIRA'!B88</f>
        <v>804015</v>
      </c>
      <c r="C88" s="1438" t="str">
        <f>VLOOKUP(A88,'11 - FINANCEIRA'!A:AC,3,FALSE)</f>
        <v>Corpo de BSTC D = 0,40 m CA2 - areia, brita e pedra de mão comerciais</v>
      </c>
      <c r="D88" s="1439">
        <f>VLOOKUP(A88,'11 - FINANCEIRA'!A:AE,24,0)</f>
        <v>0</v>
      </c>
      <c r="E88" s="1440" t="str">
        <f>VLOOKUP(A88,'11 - FINANCEIRA'!A:AC,4,0)</f>
        <v>m</v>
      </c>
      <c r="F88" s="16" t="str">
        <f t="shared" si="6"/>
        <v>3.2.2</v>
      </c>
      <c r="G88" s="17" t="str">
        <f t="shared" si="4"/>
        <v>NULO</v>
      </c>
      <c r="H88" s="17">
        <f t="shared" si="5"/>
        <v>0</v>
      </c>
    </row>
    <row r="89" spans="1:8" hidden="1">
      <c r="A89" s="15" t="str">
        <f>'11 - FINANCEIRA'!A89</f>
        <v>3.2.3</v>
      </c>
      <c r="B89" s="19">
        <f>'11 - FINANCEIRA'!B89</f>
        <v>2003650</v>
      </c>
      <c r="C89" s="1438" t="str">
        <f>VLOOKUP(A89,'11 - FINANCEIRA'!A:AC,3,FALSE)</f>
        <v>Caixa de ligação e passagem - CLP 05 - areia e brita comerciais</v>
      </c>
      <c r="D89" s="1439">
        <f>VLOOKUP(A89,'11 - FINANCEIRA'!A:AE,24,0)</f>
        <v>0</v>
      </c>
      <c r="E89" s="1440" t="str">
        <f>VLOOKUP(A89,'11 - FINANCEIRA'!A:AC,4,0)</f>
        <v>un</v>
      </c>
      <c r="F89" s="16" t="str">
        <f t="shared" si="6"/>
        <v>3.2.3</v>
      </c>
      <c r="G89" s="17" t="str">
        <f>IF(D89&gt;0,"POSITIVO",IF(D89=0,"NULO",IF(D89&lt;0,"NEGATIVO")))</f>
        <v>NULO</v>
      </c>
      <c r="H89" s="17">
        <f t="shared" si="5"/>
        <v>0</v>
      </c>
    </row>
    <row r="90" spans="1:8" hidden="1">
      <c r="A90" s="15" t="str">
        <f>'11 - FINANCEIRA'!A90</f>
        <v>3.2.4</v>
      </c>
      <c r="B90" s="1789">
        <f>'11 - FINANCEIRA'!B90</f>
        <v>2003626</v>
      </c>
      <c r="C90" s="1444" t="str">
        <f>VLOOKUP(A90,'11 - FINANCEIRA'!A:AC,3,FALSE)</f>
        <v>Boca de lobo simples - grelha de concreto - BLSG 01 - areia e brita comerciais</v>
      </c>
      <c r="D90" s="1793">
        <f>VLOOKUP(A90,'11 - FINANCEIRA'!A:AE,24,0)</f>
        <v>0</v>
      </c>
      <c r="E90" s="1795" t="str">
        <f>VLOOKUP(A90,'11 - FINANCEIRA'!A:AC,4,0)</f>
        <v>un</v>
      </c>
      <c r="F90" s="16" t="str">
        <f t="shared" si="6"/>
        <v>3.2.4</v>
      </c>
      <c r="G90" s="17" t="str">
        <f>IF(D90&gt;0,"POSITIVO",IF(D90=0,"NULO",IF(D90&lt;0,"NEGATIVO")))</f>
        <v>NULO</v>
      </c>
      <c r="H90" s="17">
        <f t="shared" si="5"/>
        <v>0</v>
      </c>
    </row>
    <row r="91" spans="1:8" ht="18">
      <c r="A91" s="15" t="str">
        <f>'11 - FINANCEIRA'!A91</f>
        <v>3.3</v>
      </c>
      <c r="B91" s="1862" t="str">
        <f>A91</f>
        <v>3.3</v>
      </c>
      <c r="C91" s="1863" t="str">
        <f>'11 - FINANCEIRA'!B91</f>
        <v>Manutenção Rede de Água</v>
      </c>
      <c r="D91" s="1835"/>
      <c r="E91" s="1836"/>
      <c r="F91" s="1202"/>
      <c r="H91" s="17">
        <f>SUM(H92:H97)</f>
        <v>1</v>
      </c>
    </row>
    <row r="92" spans="1:8" hidden="1">
      <c r="A92" s="15" t="str">
        <f>'11 - FINANCEIRA'!A92</f>
        <v>3.3.1</v>
      </c>
      <c r="B92" s="1809">
        <f>'11 - FINANCEIRA'!B92</f>
        <v>2003680</v>
      </c>
      <c r="C92" s="1810" t="str">
        <f>VLOOKUP(A92,'11 - FINANCEIRA'!A:AC,3,FALSE)</f>
        <v>Poço de visita - PVI 02 - areia e brita comerciais</v>
      </c>
      <c r="D92" s="1811">
        <f>VLOOKUP(A92,'11 - FINANCEIRA'!A:AE,24,0)</f>
        <v>0</v>
      </c>
      <c r="E92" s="1797" t="str">
        <f>VLOOKUP(A92,'11 - FINANCEIRA'!A:AC,4,0)</f>
        <v>un</v>
      </c>
      <c r="F92" s="16" t="str">
        <f t="shared" si="6"/>
        <v>3.3.1</v>
      </c>
      <c r="G92" s="17" t="str">
        <f t="shared" si="4"/>
        <v>NULO</v>
      </c>
      <c r="H92" s="17">
        <f t="shared" si="5"/>
        <v>0</v>
      </c>
    </row>
    <row r="93" spans="1:8" ht="25.5">
      <c r="A93" s="15" t="str">
        <f>'11 - FINANCEIRA'!A93</f>
        <v>3.3.2</v>
      </c>
      <c r="B93" s="1837">
        <f>'11 - FINANCEIRA'!B93</f>
        <v>97121</v>
      </c>
      <c r="C93" s="1838" t="str">
        <f>VLOOKUP(A93,'11 - FINANCEIRA'!A:AC,3,FALSE)</f>
        <v>Assentamento de tubo de PVC PBA para rede de água DN 50 mm junta elástica integrada, instalado em local com nível alto de interferências (não inclui fornecimento) AF_11/2017</v>
      </c>
      <c r="D93" s="1839">
        <f>'11 - FINANCEIRA'!Z93</f>
        <v>242</v>
      </c>
      <c r="E93" s="1849" t="str">
        <f>VLOOKUP(A93,'11 - FINANCEIRA'!A:AC,4,0)</f>
        <v>m</v>
      </c>
      <c r="F93" s="16" t="str">
        <f t="shared" si="6"/>
        <v>3.3.2</v>
      </c>
      <c r="G93" s="17" t="str">
        <f t="shared" si="4"/>
        <v>POSITIVO</v>
      </c>
      <c r="H93" s="17">
        <f t="shared" si="5"/>
        <v>1</v>
      </c>
    </row>
    <row r="94" spans="1:8" hidden="1">
      <c r="A94" s="15" t="str">
        <f>'11 - FINANCEIRA'!A94</f>
        <v>3.3.3</v>
      </c>
      <c r="B94" s="1802">
        <f>'11 - FINANCEIRA'!B94</f>
        <v>36378</v>
      </c>
      <c r="C94" s="1806" t="str">
        <f>VLOOKUP(A94,'11 - FINANCEIRA'!A:AC,3,FALSE)</f>
        <v>Tubo de PVC PBA JEI, classe 20,DN 50mm, para rede de água (NBR 5647)</v>
      </c>
      <c r="D94" s="1807">
        <f>VLOOKUP(A94,'11 - FINANCEIRA'!A:AE,26,0)</f>
        <v>0</v>
      </c>
      <c r="E94" s="1808" t="str">
        <f>VLOOKUP(A94,'11 - FINANCEIRA'!A:AC,4,0)</f>
        <v>m</v>
      </c>
      <c r="F94" s="16" t="str">
        <f t="shared" si="6"/>
        <v>3.3.3</v>
      </c>
      <c r="G94" s="17" t="str">
        <f t="shared" si="4"/>
        <v>NULO</v>
      </c>
      <c r="H94" s="17">
        <f t="shared" si="5"/>
        <v>0</v>
      </c>
    </row>
    <row r="95" spans="1:8" ht="38.25" hidden="1">
      <c r="A95" s="15" t="str">
        <f>'11 - FINANCEIRA'!A95</f>
        <v>3.3.4</v>
      </c>
      <c r="B95" s="19">
        <f>'11 - FINANCEIRA'!B95</f>
        <v>97123</v>
      </c>
      <c r="C95" s="1438" t="str">
        <f>VLOOKUP(A95,'11 - FINANCEIRA'!A:AC,3,FALSE)</f>
        <v>Assentantamento de tubo de PVC PBA para rede de água . DN 100mm, junta elástica integrada, instalado em local com nível alto de interferência (não inclui fornecimento) AF_11/2017</v>
      </c>
      <c r="D95" s="1439">
        <f>VLOOKUP(A95,'11 - FINANCEIRA'!A:AE,24,0)</f>
        <v>0</v>
      </c>
      <c r="E95" s="1440" t="str">
        <f>VLOOKUP(A95,'11 - FINANCEIRA'!A:AC,4,0)</f>
        <v>m</v>
      </c>
      <c r="F95" s="16" t="str">
        <f t="shared" si="6"/>
        <v>3.3.4</v>
      </c>
      <c r="G95" s="17" t="str">
        <f t="shared" si="4"/>
        <v>NULO</v>
      </c>
      <c r="H95" s="17">
        <f t="shared" si="5"/>
        <v>0</v>
      </c>
    </row>
    <row r="96" spans="1:8" hidden="1">
      <c r="A96" s="15" t="str">
        <f>'11 - FINANCEIRA'!A96</f>
        <v>3.3.5</v>
      </c>
      <c r="B96" s="19">
        <f>'11 - FINANCEIRA'!B96</f>
        <v>36380</v>
      </c>
      <c r="C96" s="1438" t="str">
        <f>VLOOKUP(A96,'11 - FINANCEIRA'!A:AC,3,FALSE)</f>
        <v>Tubo de PVC PBA JEI, classe 20, DN 100mm, para rede de água (Nbr 5647)</v>
      </c>
      <c r="D96" s="1439">
        <f>VLOOKUP(A96,'11 - FINANCEIRA'!A:AE,24,0)</f>
        <v>0</v>
      </c>
      <c r="E96" s="1440" t="str">
        <f>VLOOKUP(A96,'11 - FINANCEIRA'!A:AC,4,0)</f>
        <v>m</v>
      </c>
      <c r="F96" s="16" t="str">
        <f t="shared" si="6"/>
        <v>3.3.5</v>
      </c>
      <c r="G96" s="17" t="str">
        <f t="shared" si="4"/>
        <v>NULO</v>
      </c>
      <c r="H96" s="17">
        <f t="shared" si="5"/>
        <v>0</v>
      </c>
    </row>
    <row r="97" spans="1:8" ht="25.5" hidden="1">
      <c r="A97" s="15" t="str">
        <f>'11 - FINANCEIRA'!A97</f>
        <v>3.3.6</v>
      </c>
      <c r="B97" s="19">
        <f>'11 - FINANCEIRA'!B97</f>
        <v>97144</v>
      </c>
      <c r="C97" s="1438" t="str">
        <f>VLOOKUP(A97,'11 - FINANCEIRA'!A:AC,3,FALSE)</f>
        <v>Assentamento de tubo de ferro fundido para rede de água, DN 200mm, junta elástica, instalado em local com nível alto de interferências ( não inclui fornecimento). AF_11/2017</v>
      </c>
      <c r="D97" s="1439">
        <f>VLOOKUP(A97,'11 - FINANCEIRA'!A:AE,24,0)</f>
        <v>0</v>
      </c>
      <c r="E97" s="1440" t="str">
        <f>VLOOKUP(A97,'11 - FINANCEIRA'!A:AC,4,0)</f>
        <v>m</v>
      </c>
      <c r="F97" s="16" t="str">
        <f t="shared" si="6"/>
        <v>3.3.6</v>
      </c>
      <c r="G97" s="17" t="str">
        <f t="shared" si="4"/>
        <v>NULO</v>
      </c>
      <c r="H97" s="17">
        <f t="shared" si="5"/>
        <v>0</v>
      </c>
    </row>
    <row r="98" spans="1:8" hidden="1">
      <c r="A98" s="15" t="str">
        <f>'11 - FINANCEIRA'!A98</f>
        <v>3.3.7</v>
      </c>
      <c r="B98" s="1789">
        <f>'11 - FINANCEIRA'!B98</f>
        <v>3209</v>
      </c>
      <c r="C98" s="1444" t="str">
        <f>VLOOKUP(A98,'11 - FINANCEIRA'!A:AC,3,FALSE)</f>
        <v>Tubo fofof fúctil JGS JEK-7p/água DN 200</v>
      </c>
      <c r="D98" s="1793">
        <f>VLOOKUP(A98,'11 - FINANCEIRA'!A:AE,24,0)</f>
        <v>0</v>
      </c>
      <c r="E98" s="1795" t="str">
        <f>VLOOKUP(A98,'11 - FINANCEIRA'!A:AC,4,0)</f>
        <v>m</v>
      </c>
      <c r="F98" s="16" t="str">
        <f t="shared" si="6"/>
        <v>3.3.7</v>
      </c>
      <c r="H98" s="17">
        <f>SUM(H99:H112)</f>
        <v>4</v>
      </c>
    </row>
    <row r="99" spans="1:8">
      <c r="A99" s="15" t="str">
        <f>'11 - FINANCEIRA'!A99</f>
        <v>3.4</v>
      </c>
      <c r="B99" s="1856" t="str">
        <f>A99</f>
        <v>3.4</v>
      </c>
      <c r="C99" s="1835" t="str">
        <f>'11 - FINANCEIRA'!B99</f>
        <v>Obras Complementares</v>
      </c>
      <c r="D99" s="1835"/>
      <c r="E99" s="1836"/>
      <c r="F99" s="16" t="str">
        <f t="shared" si="6"/>
        <v>3.4</v>
      </c>
      <c r="G99" s="17" t="str">
        <f t="shared" si="4"/>
        <v>NULO</v>
      </c>
      <c r="H99" s="17">
        <f t="shared" si="5"/>
        <v>0</v>
      </c>
    </row>
    <row r="100" spans="1:8" hidden="1">
      <c r="A100" s="15" t="str">
        <f>'11 - FINANCEIRA'!A100</f>
        <v>3.4.1</v>
      </c>
      <c r="B100" s="1809">
        <f>'11 - FINANCEIRA'!B100</f>
        <v>1600436</v>
      </c>
      <c r="C100" s="1810" t="str">
        <f>VLOOKUP(A100,'11 - FINANCEIRA'!A:AC,3,FALSE)</f>
        <v>Demolição de concreto simples</v>
      </c>
      <c r="D100" s="1811">
        <f>VLOOKUP(A100,'11 - FINANCEIRA'!A:AE,24,0)</f>
        <v>0</v>
      </c>
      <c r="E100" s="1797" t="str">
        <f>VLOOKUP(A100,'11 - FINANCEIRA'!A:AC,4,0)</f>
        <v>m³</v>
      </c>
      <c r="F100" s="16" t="str">
        <f t="shared" si="6"/>
        <v>3.4.1</v>
      </c>
      <c r="G100" s="17" t="str">
        <f t="shared" si="4"/>
        <v>NULO</v>
      </c>
      <c r="H100" s="17">
        <f t="shared" si="5"/>
        <v>0</v>
      </c>
    </row>
    <row r="101" spans="1:8">
      <c r="A101" s="15" t="str">
        <f>'11 - FINANCEIRA'!A101</f>
        <v>3.4.2</v>
      </c>
      <c r="B101" s="1837">
        <f>'11 - FINANCEIRA'!B101</f>
        <v>42504</v>
      </c>
      <c r="C101" s="1838" t="str">
        <f>VLOOKUP(A101,'11 - FINANCEIRA'!A:AC,3,FALSE)</f>
        <v>Remoção e reassentamento de blocos de concreto, inclusive perdas em Vias Urbanas</v>
      </c>
      <c r="D101" s="1839">
        <f>VLOOKUP(A101,'11 - FINANCEIRA'!A:AE,26,0)</f>
        <v>46.200000000000045</v>
      </c>
      <c r="E101" s="1840" t="str">
        <f>VLOOKUP(A101,'11 - FINANCEIRA'!A:AC,4,0)</f>
        <v>m²</v>
      </c>
      <c r="F101" s="16" t="str">
        <f t="shared" si="6"/>
        <v>3.4.2</v>
      </c>
      <c r="G101" s="17" t="str">
        <f t="shared" si="4"/>
        <v>POSITIVO</v>
      </c>
      <c r="H101" s="17">
        <f t="shared" si="5"/>
        <v>1</v>
      </c>
    </row>
    <row r="102" spans="1:8" hidden="1">
      <c r="A102" s="15" t="str">
        <f>'11 - FINANCEIRA'!A102</f>
        <v>3.4.3</v>
      </c>
      <c r="B102" s="1802">
        <f>'11 - FINANCEIRA'!B102</f>
        <v>42870</v>
      </c>
      <c r="C102" s="1806" t="str">
        <f>VLOOKUP(A102,'11 - FINANCEIRA'!A:AC,3,FALSE)</f>
        <v>Demolição mecânica de concreto em Vias Urbanas</v>
      </c>
      <c r="D102" s="1807">
        <f>VLOOKUP(A102,'11 - FINANCEIRA'!A:AE,26,0)</f>
        <v>0</v>
      </c>
      <c r="E102" s="1812" t="str">
        <f>VLOOKUP(A102,'11 - FINANCEIRA'!A:AC,4,0)</f>
        <v>m³</v>
      </c>
      <c r="F102" s="16" t="str">
        <f t="shared" si="6"/>
        <v>3.4.3</v>
      </c>
      <c r="G102" s="17" t="str">
        <f>IF(D102&gt;0,"POSITIVO",IF(D102=0,"NULO",IF(D102&lt;0,"NEGATIVO")))</f>
        <v>NULO</v>
      </c>
      <c r="H102" s="17">
        <f t="shared" si="5"/>
        <v>0</v>
      </c>
    </row>
    <row r="103" spans="1:8" hidden="1">
      <c r="A103" s="15" t="str">
        <f>'11 - FINANCEIRA'!A103</f>
        <v>3.4.4</v>
      </c>
      <c r="B103" s="19">
        <f>'11 - FINANCEIRA'!B103</f>
        <v>60024</v>
      </c>
      <c r="C103" s="1438" t="str">
        <f>VLOOKUP(A103,'11 - FINANCEIRA'!A:AC,3,FALSE)</f>
        <v>Transporte de materiais para DMT acima de 15 KM</v>
      </c>
      <c r="D103" s="1439">
        <f>VLOOKUP(A103,'11 - FINANCEIRA'!A:AE,26,0)</f>
        <v>0</v>
      </c>
      <c r="E103" s="1440" t="str">
        <f>VLOOKUP(A103,'11 - FINANCEIRA'!A:AC,4,0)</f>
        <v>T</v>
      </c>
      <c r="F103" s="16" t="str">
        <f t="shared" si="6"/>
        <v>3.4.4</v>
      </c>
      <c r="G103" s="17" t="str">
        <f t="shared" ref="G103:G126" si="9">IF(D103&gt;0,"POSITIVO",IF(D103=0,"NULO",IF(D103&lt;0,"NEGATIVO")))</f>
        <v>NULO</v>
      </c>
      <c r="H103" s="17">
        <f t="shared" si="5"/>
        <v>0</v>
      </c>
    </row>
    <row r="104" spans="1:8" hidden="1">
      <c r="A104" s="15" t="str">
        <f>'11 - FINANCEIRA'!A104</f>
        <v>3.4.5</v>
      </c>
      <c r="B104" s="19">
        <f>'11 - FINANCEIRA'!B104</f>
        <v>40867</v>
      </c>
      <c r="C104" s="1438" t="str">
        <f>VLOOKUP(A104,'11 - FINANCEIRA'!A:AC,3,FALSE)</f>
        <v>Demolição e remoção de pavimento asfáltico</v>
      </c>
      <c r="D104" s="1439">
        <f>VLOOKUP(A104,'11 - FINANCEIRA'!A:AE,26,0)</f>
        <v>0</v>
      </c>
      <c r="E104" s="1440" t="str">
        <f>VLOOKUP(A104,'11 - FINANCEIRA'!A:AC,4,0)</f>
        <v>m²</v>
      </c>
      <c r="F104" s="16" t="str">
        <f t="shared" si="6"/>
        <v>3.4.5</v>
      </c>
      <c r="G104" s="17" t="str">
        <f t="shared" si="9"/>
        <v>NULO</v>
      </c>
      <c r="H104" s="17">
        <f t="shared" si="5"/>
        <v>0</v>
      </c>
    </row>
    <row r="105" spans="1:8" ht="25.5" hidden="1">
      <c r="A105" s="15" t="str">
        <f>'11 - FINANCEIRA'!A105</f>
        <v>3.4.6</v>
      </c>
      <c r="B105" s="1789" t="str">
        <f>'11 - FINANCEIRA'!B105</f>
        <v>7550-83397</v>
      </c>
      <c r="C105" s="1444" t="str">
        <f>VLOOKUP(A105,'11 - FINANCEIRA'!A:AC,3,FALSE)</f>
        <v xml:space="preserve">Poste de concreto duplo h=9m carga nominal 500k, inclusive escavação, exclusive trasnporte- fornecimento e instalação </v>
      </c>
      <c r="D105" s="1793">
        <f>VLOOKUP(A105,'11 - FINANCEIRA'!A:AE,26,0)</f>
        <v>0</v>
      </c>
      <c r="E105" s="1795" t="str">
        <f>VLOOKUP(A105,'11 - FINANCEIRA'!A:AC,4,0)</f>
        <v>un</v>
      </c>
      <c r="F105" s="16" t="str">
        <f t="shared" si="6"/>
        <v>3.4.6</v>
      </c>
      <c r="G105" s="17" t="str">
        <f t="shared" si="9"/>
        <v>NULO</v>
      </c>
      <c r="H105" s="17">
        <f t="shared" si="5"/>
        <v>0</v>
      </c>
    </row>
    <row r="106" spans="1:8">
      <c r="A106" s="15" t="str">
        <f>'11 - FINANCEIRA'!A106</f>
        <v>3.5</v>
      </c>
      <c r="B106" s="1856" t="str">
        <f>A106</f>
        <v>3.5</v>
      </c>
      <c r="C106" s="1835" t="str">
        <f>'11 - FINANCEIRA'!B106</f>
        <v>Estrutura</v>
      </c>
      <c r="D106" s="1835"/>
      <c r="E106" s="1836"/>
      <c r="F106" s="16" t="str">
        <f t="shared" si="6"/>
        <v>3.5</v>
      </c>
      <c r="G106" s="17" t="str">
        <f t="shared" si="9"/>
        <v>NULO</v>
      </c>
      <c r="H106" s="17">
        <f t="shared" si="5"/>
        <v>0</v>
      </c>
    </row>
    <row r="107" spans="1:8" ht="25.5" hidden="1">
      <c r="A107" s="15" t="str">
        <f>'11 - FINANCEIRA'!A107</f>
        <v>3.5.1</v>
      </c>
      <c r="B107" s="1809">
        <f>'11 - FINANCEIRA'!B107</f>
        <v>6817851</v>
      </c>
      <c r="C107" s="1810" t="str">
        <f>VLOOKUP(A107,'11 - FINANCEIRA'!A:AC,3,FALSE)</f>
        <v>Fornecimento e assentamento de galeria de concreto pré-moldado 3 X 2 metros fechada (tampa fixa)</v>
      </c>
      <c r="D107" s="1811">
        <f>VLOOKUP(A107,'11 - FINANCEIRA'!A:AE,26,0)</f>
        <v>0</v>
      </c>
      <c r="E107" s="1797" t="str">
        <f>VLOOKUP(A107,'11 - FINANCEIRA'!A:AC,4,0)</f>
        <v>un</v>
      </c>
      <c r="F107" s="16" t="str">
        <f t="shared" si="6"/>
        <v>3.5.1</v>
      </c>
      <c r="G107" s="17" t="str">
        <f t="shared" si="9"/>
        <v>NULO</v>
      </c>
      <c r="H107" s="17">
        <f t="shared" si="5"/>
        <v>0</v>
      </c>
    </row>
    <row r="108" spans="1:8" ht="25.5">
      <c r="A108" s="15" t="str">
        <f>'11 - FINANCEIRA'!A108</f>
        <v>3.5.1 A</v>
      </c>
      <c r="B108" s="1837">
        <f>'11 - FINANCEIRA'!B108</f>
        <v>6817852</v>
      </c>
      <c r="C108" s="1838" t="str">
        <f>VLOOKUP(A108,'11 - FINANCEIRA'!A:AC,3,FALSE)</f>
        <v>Fornecimento e assentamento de galeria de concreto pré-moldado 2 X 2 metros fechada (tampa fixa)</v>
      </c>
      <c r="D108" s="1839">
        <f>VLOOKUP(A108,'11 - FINANCEIRA'!A:AE,26,0)</f>
        <v>22</v>
      </c>
      <c r="E108" s="1840" t="str">
        <f>VLOOKUP(A108,'11 - FINANCEIRA'!A:AC,4,0)</f>
        <v>un</v>
      </c>
      <c r="F108" s="16" t="str">
        <f t="shared" ref="F108" si="10">A108</f>
        <v>3.5.1 A</v>
      </c>
      <c r="G108" s="17" t="str">
        <f t="shared" ref="G108" si="11">IF(D108&gt;0,"POSITIVO",IF(D108=0,"NULO",IF(D108&lt;0,"NEGATIVO")))</f>
        <v>POSITIVO</v>
      </c>
      <c r="H108" s="17">
        <f t="shared" ref="H108" si="12">IF(G108="NULO",0,1)</f>
        <v>1</v>
      </c>
    </row>
    <row r="109" spans="1:8" ht="25.5" hidden="1">
      <c r="A109" s="15" t="str">
        <f>'11 - FINANCEIRA'!A109</f>
        <v>3.5.2</v>
      </c>
      <c r="B109" s="1809">
        <f>'11 - FINANCEIRA'!B109</f>
        <v>6817851</v>
      </c>
      <c r="C109" s="1810" t="str">
        <f>VLOOKUP(A109,'11 - FINANCEIRA'!A:AC,3,FALSE)</f>
        <v>Fornecimento e assentamento de galeria de concreto pré-moldado 3 X 2 metros aberta (tampa removível)</v>
      </c>
      <c r="D109" s="1811">
        <f>VLOOKUP(A109,'11 - FINANCEIRA'!A:AE,26,0)</f>
        <v>0</v>
      </c>
      <c r="E109" s="1797" t="str">
        <f>VLOOKUP(A109,'11 - FINANCEIRA'!A:AC,4,0)</f>
        <v>un</v>
      </c>
      <c r="F109" s="16" t="str">
        <f t="shared" si="6"/>
        <v>3.5.2</v>
      </c>
      <c r="G109" s="17" t="str">
        <f t="shared" si="9"/>
        <v>NULO</v>
      </c>
      <c r="H109" s="17">
        <f t="shared" si="5"/>
        <v>0</v>
      </c>
    </row>
    <row r="110" spans="1:8">
      <c r="A110" s="15" t="str">
        <f>'11 - FINANCEIRA'!A110</f>
        <v>3.5.3</v>
      </c>
      <c r="B110" s="1850">
        <f>'11 - FINANCEIRA'!B110</f>
        <v>1106057</v>
      </c>
      <c r="C110" s="1851" t="str">
        <f>VLOOKUP(A110,'11 - FINANCEIRA'!A:AC,3,FALSE)</f>
        <v>Concreto magro - confecção em betoneira e lançamento manual - areia e brita comerciais</v>
      </c>
      <c r="D110" s="1852">
        <f>VLOOKUP(A110,'11 - FINANCEIRA'!A:AE,26,0)</f>
        <v>77.28</v>
      </c>
      <c r="E110" s="1853" t="str">
        <f>VLOOKUP(A110,'11 - FINANCEIRA'!A:AC,4,0)</f>
        <v>m³</v>
      </c>
      <c r="F110" s="16" t="str">
        <f t="shared" si="6"/>
        <v>3.5.3</v>
      </c>
      <c r="G110" s="17" t="str">
        <f t="shared" si="9"/>
        <v>POSITIVO</v>
      </c>
      <c r="H110" s="17">
        <f t="shared" si="5"/>
        <v>1</v>
      </c>
    </row>
    <row r="111" spans="1:8" ht="25.5">
      <c r="A111" s="15" t="str">
        <f>'11 - FINANCEIRA'!A111</f>
        <v>3.5.4</v>
      </c>
      <c r="B111" s="1845">
        <f>'11 - FINANCEIRA'!B111</f>
        <v>96541</v>
      </c>
      <c r="C111" s="1846" t="str">
        <f>VLOOKUP(A111,'11 - FINANCEIRA'!A:AC,3,FALSE)</f>
        <v>Fabricação, montagem e desmontagem de forma em chapa de madeira compensada resinada, E= 17mm</v>
      </c>
      <c r="D111" s="1847">
        <f>VLOOKUP(A111,'11 - FINANCEIRA'!A:AE,26,0)</f>
        <v>72.506666666666717</v>
      </c>
      <c r="E111" s="1854" t="str">
        <f>VLOOKUP(A111,'11 - FINANCEIRA'!A:AC,4,0)</f>
        <v>m²</v>
      </c>
      <c r="F111" s="16" t="str">
        <f t="shared" si="6"/>
        <v>3.5.4</v>
      </c>
      <c r="G111" s="17" t="str">
        <f t="shared" si="9"/>
        <v>POSITIVO</v>
      </c>
      <c r="H111" s="17">
        <f>IF(G111="NULO",0,1)</f>
        <v>1</v>
      </c>
    </row>
    <row r="112" spans="1:8" ht="25.5" hidden="1">
      <c r="A112" s="15" t="str">
        <f>'11 - FINANCEIRA'!A112</f>
        <v>3.5.5</v>
      </c>
      <c r="B112" s="1802">
        <f>'11 - FINANCEIRA'!B112</f>
        <v>1107890</v>
      </c>
      <c r="C112" s="1806" t="str">
        <f>VLOOKUP(A112,'11 - FINANCEIRA'!A:AC,3,FALSE)</f>
        <v>Concreto fck = 30 MPa - confecção em central dosadora de 30 m³/h - areia e brita comerciais</v>
      </c>
      <c r="D112" s="1807">
        <f>VLOOKUP(A112,'11 - FINANCEIRA'!A:AE,26,0)</f>
        <v>0</v>
      </c>
      <c r="E112" s="1812" t="str">
        <f>VLOOKUP(A112,'11 - FINANCEIRA'!A:AC,4,0)</f>
        <v>m³</v>
      </c>
      <c r="F112" s="16" t="str">
        <f t="shared" si="6"/>
        <v>3.5.5</v>
      </c>
      <c r="G112" s="17" t="str">
        <f t="shared" si="9"/>
        <v>NULO</v>
      </c>
      <c r="H112" s="17">
        <f>IF(G112="NULO",0,1)</f>
        <v>0</v>
      </c>
    </row>
    <row r="113" spans="1:8" hidden="1">
      <c r="A113" s="15" t="str">
        <f>'11 - FINANCEIRA'!A113</f>
        <v>3.5.6</v>
      </c>
      <c r="B113" s="19">
        <f>'11 - FINANCEIRA'!B113</f>
        <v>25950</v>
      </c>
      <c r="C113" s="1438" t="str">
        <f>VLOOKUP(A113,'11 - FINANCEIRA'!A:AC,3,FALSE)</f>
        <v xml:space="preserve">Serviço de Bombeamento De Concreto </v>
      </c>
      <c r="D113" s="1439">
        <f>VLOOKUP(A113,'11 - FINANCEIRA'!A:AE,26,0)</f>
        <v>0</v>
      </c>
      <c r="E113" s="1443" t="str">
        <f>'11 - FINANCEIRA'!D144</f>
        <v>UNID</v>
      </c>
      <c r="F113" s="16" t="str">
        <f t="shared" si="6"/>
        <v>3.5.6</v>
      </c>
      <c r="G113" s="17" t="str">
        <f t="shared" si="9"/>
        <v>NULO</v>
      </c>
      <c r="H113" s="17">
        <f t="shared" ref="H113:H123" si="13">SUM(H114:H182)</f>
        <v>0</v>
      </c>
    </row>
    <row r="114" spans="1:8" hidden="1">
      <c r="A114" s="15" t="str">
        <f>'11 - FINANCEIRA'!A114</f>
        <v>3.5.7</v>
      </c>
      <c r="B114" s="19">
        <f>'11 - FINANCEIRA'!B114</f>
        <v>407819</v>
      </c>
      <c r="C114" s="1438" t="str">
        <f>VLOOKUP(A114,'11 - FINANCEIRA'!A:AC,3,FALSE)</f>
        <v>Armação em aço CA-50 - fornecimento, preparo e colocação</v>
      </c>
      <c r="D114" s="1439">
        <f>VLOOKUP(A114,'11 - FINANCEIRA'!A:AE,26,0)</f>
        <v>0</v>
      </c>
      <c r="E114" s="1443" t="str">
        <f>'11 - FINANCEIRA'!D145</f>
        <v>UNID</v>
      </c>
      <c r="F114" s="16" t="str">
        <f t="shared" si="6"/>
        <v>3.5.7</v>
      </c>
      <c r="G114" s="17" t="str">
        <f t="shared" si="9"/>
        <v>NULO</v>
      </c>
      <c r="H114" s="17">
        <f t="shared" si="13"/>
        <v>0</v>
      </c>
    </row>
    <row r="115" spans="1:8" ht="25.5" hidden="1">
      <c r="A115" s="15" t="str">
        <f>'11 - FINANCEIRA'!A115</f>
        <v>3.5.8</v>
      </c>
      <c r="B115" s="19">
        <f>'11 - FINANCEIRA'!B115</f>
        <v>100322</v>
      </c>
      <c r="C115" s="1438" t="str">
        <f>VLOOKUP(A115,'11 - FINANCEIRA'!A:AC,3,FALSE)</f>
        <v>Lastro Com Material Granular (Pedra Britada N.3), Aplicado Em Pisos Ou Lajes Sobre Solo, Espessura De *10 Cm*. Af_07/2019</v>
      </c>
      <c r="D115" s="1439">
        <f>VLOOKUP(A115,'11 - FINANCEIRA'!A:AE,26,0)</f>
        <v>0</v>
      </c>
      <c r="E115" s="1443" t="str">
        <f>'11 - FINANCEIRA'!D146</f>
        <v>UNID</v>
      </c>
      <c r="F115" s="16" t="str">
        <f t="shared" si="6"/>
        <v>3.5.8</v>
      </c>
      <c r="G115" s="17" t="str">
        <f t="shared" si="9"/>
        <v>NULO</v>
      </c>
      <c r="H115" s="17">
        <f t="shared" si="13"/>
        <v>0</v>
      </c>
    </row>
    <row r="116" spans="1:8" hidden="1">
      <c r="A116" s="15" t="str">
        <f>'11 - FINANCEIRA'!A116</f>
        <v>3.5.9</v>
      </c>
      <c r="B116" s="19">
        <f>'11 - FINANCEIRA'!B116</f>
        <v>407820</v>
      </c>
      <c r="C116" s="20" t="str">
        <f>VLOOKUP(A116,'11 - FINANCEIRA'!A:AC,3,FALSE)</f>
        <v>Armação em aço CA-60 - fornecimento, preparo e colocação</v>
      </c>
      <c r="D116" s="1439">
        <f>VLOOKUP(A116,'11 - FINANCEIRA'!A:AE,26,0)</f>
        <v>0</v>
      </c>
      <c r="E116" s="1063" t="str">
        <f>'11 - FINANCEIRA'!D147</f>
        <v>UNID</v>
      </c>
      <c r="F116" s="16" t="str">
        <f t="shared" si="6"/>
        <v>3.5.9</v>
      </c>
      <c r="G116" s="17" t="str">
        <f t="shared" si="9"/>
        <v>NULO</v>
      </c>
      <c r="H116" s="17">
        <f t="shared" si="13"/>
        <v>0</v>
      </c>
    </row>
    <row r="117" spans="1:8" hidden="1">
      <c r="A117" s="15" t="str">
        <f>'11 - FINANCEIRA'!A117</f>
        <v>3.5.10</v>
      </c>
      <c r="B117" s="19">
        <f>'11 - FINANCEIRA'!B117</f>
        <v>2003864</v>
      </c>
      <c r="C117" s="1438" t="str">
        <f>VLOOKUP(A117,'11 - FINANCEIRA'!A:AC,3,FALSE)</f>
        <v>Esgotamento de água com bomba submersa</v>
      </c>
      <c r="D117" s="1439">
        <f>VLOOKUP(A117,'11 - FINANCEIRA'!A:AE,26,0)</f>
        <v>0</v>
      </c>
      <c r="E117" s="1787" t="str">
        <f>VLOOKUP(A117,'11 - FINANCEIRA'!A:AC,4,0)</f>
        <v>h</v>
      </c>
      <c r="F117" s="16" t="str">
        <f t="shared" si="6"/>
        <v>3.5.10</v>
      </c>
      <c r="G117" s="17" t="str">
        <f t="shared" si="9"/>
        <v>NULO</v>
      </c>
      <c r="H117" s="17">
        <f t="shared" si="13"/>
        <v>0</v>
      </c>
    </row>
    <row r="118" spans="1:8" hidden="1">
      <c r="A118" s="15" t="str">
        <f>'11 - FINANCEIRA'!A118</f>
        <v>3.5.11</v>
      </c>
      <c r="B118" s="19">
        <f>'11 - FINANCEIRA'!B118</f>
        <v>7060100030</v>
      </c>
      <c r="C118" s="20" t="str">
        <f>VLOOKUP(A118,'11 - FINANCEIRA'!A:AC,3,FALSE)</f>
        <v>Rebaixamento de lençol freatico c/ pomt filtrantes</v>
      </c>
      <c r="D118" s="21">
        <f>VLOOKUP(A118,'11 - FINANCEIRA'!A:AE,20,0)</f>
        <v>0</v>
      </c>
      <c r="E118" s="1063" t="str">
        <f>'11 - FINANCEIRA'!D149</f>
        <v>UNID</v>
      </c>
      <c r="F118" s="16" t="str">
        <f t="shared" si="6"/>
        <v>3.5.11</v>
      </c>
      <c r="G118" s="17" t="str">
        <f t="shared" si="9"/>
        <v>NULO</v>
      </c>
      <c r="H118" s="17">
        <f t="shared" si="13"/>
        <v>0</v>
      </c>
    </row>
    <row r="119" spans="1:8" hidden="1">
      <c r="A119" s="15" t="str">
        <f>'11 - FINANCEIRA'!A119</f>
        <v>3.5.12</v>
      </c>
      <c r="B119" s="19">
        <f>'11 - FINANCEIRA'!B119</f>
        <v>7050100030</v>
      </c>
      <c r="C119" s="20" t="str">
        <f>VLOOKUP(A119,'11 - FINANCEIRA'!A:AC,3,FALSE)</f>
        <v>Escoramento cavas com prancha metalica</v>
      </c>
      <c r="D119" s="21">
        <f>VLOOKUP(A119,'11 - FINANCEIRA'!A:AE,20,0)</f>
        <v>0</v>
      </c>
      <c r="E119" s="1063" t="str">
        <f>'11 - FINANCEIRA'!D150</f>
        <v>UNID</v>
      </c>
      <c r="F119" s="16" t="str">
        <f t="shared" si="6"/>
        <v>3.5.12</v>
      </c>
      <c r="G119" s="17" t="str">
        <f t="shared" si="9"/>
        <v>NULO</v>
      </c>
      <c r="H119" s="17">
        <f t="shared" si="13"/>
        <v>0</v>
      </c>
    </row>
    <row r="120" spans="1:8" hidden="1">
      <c r="A120" s="15" t="str">
        <f>'11 - FINANCEIRA'!A120</f>
        <v>3.5.13</v>
      </c>
      <c r="B120" s="19" t="str">
        <f>'11 - FINANCEIRA'!B120</f>
        <v>3762-S160326</v>
      </c>
      <c r="C120" s="20" t="str">
        <f>VLOOKUP(A120,'11 - FINANCEIRA'!A:AC,3,FALSE)</f>
        <v>Barra chata em qualquer dimensão</v>
      </c>
      <c r="D120" s="21">
        <f>VLOOKUP(A120,'11 - FINANCEIRA'!A:AE,20,0)</f>
        <v>0</v>
      </c>
      <c r="E120" s="1063" t="str">
        <f>'11 - FINANCEIRA'!D151</f>
        <v>UNID</v>
      </c>
      <c r="F120" s="16" t="str">
        <f t="shared" si="6"/>
        <v>3.5.13</v>
      </c>
      <c r="G120" s="17" t="str">
        <f t="shared" si="9"/>
        <v>NULO</v>
      </c>
      <c r="H120" s="17">
        <f t="shared" si="13"/>
        <v>0</v>
      </c>
    </row>
    <row r="121" spans="1:8" hidden="1">
      <c r="A121" s="15">
        <f>'11 - FINANCEIRA'!A121</f>
        <v>0</v>
      </c>
      <c r="B121" s="1789"/>
      <c r="C121" s="1790"/>
      <c r="D121" s="1791"/>
      <c r="E121" s="1796"/>
      <c r="F121" s="16"/>
    </row>
    <row r="122" spans="1:8">
      <c r="A122" s="15" t="str">
        <f>'11 - FINANCEIRA'!A122</f>
        <v>4.0</v>
      </c>
      <c r="B122" s="1855" t="str">
        <f>A122</f>
        <v>4.0</v>
      </c>
      <c r="C122" s="1842" t="str">
        <f>VLOOKUP(A122,'11 - FINANCEIRA'!A:AC,3,FALSE)</f>
        <v xml:space="preserve">ITENS NOVOS </v>
      </c>
      <c r="D122" s="1842"/>
      <c r="E122" s="1843"/>
      <c r="F122" s="16" t="str">
        <f t="shared" si="6"/>
        <v>4.0</v>
      </c>
      <c r="G122" s="17" t="str">
        <f t="shared" si="9"/>
        <v>NULO</v>
      </c>
      <c r="H122" s="17">
        <f t="shared" si="13"/>
        <v>0</v>
      </c>
    </row>
    <row r="123" spans="1:8">
      <c r="A123" s="15" t="str">
        <f>'11 - FINANCEIRA'!A123</f>
        <v>4.1.1</v>
      </c>
      <c r="B123" s="19">
        <f>'11 - FINANCEIRA'!B123</f>
        <v>42764</v>
      </c>
      <c r="C123" s="20" t="str">
        <f>VLOOKUP(A123,'11 - FINANCEIRA'!A:AC,3,FALSE)</f>
        <v>Corpo de BSTC D = 0,80 m CA2 - areia, brita e pedra de mão comerciais</v>
      </c>
      <c r="D123" s="21">
        <f>'11 - FINANCEIRA'!Z123</f>
        <v>5</v>
      </c>
      <c r="E123" s="1796" t="str">
        <f>'11 - FINANCEIRA'!D154</f>
        <v>UNID</v>
      </c>
      <c r="F123" s="16" t="str">
        <f t="shared" si="6"/>
        <v>4.1.1</v>
      </c>
      <c r="G123" s="17" t="str">
        <f t="shared" si="9"/>
        <v>POSITIVO</v>
      </c>
      <c r="H123" s="17">
        <f t="shared" si="13"/>
        <v>0</v>
      </c>
    </row>
    <row r="124" spans="1:8">
      <c r="A124" s="15" t="str">
        <f>'11 - FINANCEIRA'!A124</f>
        <v>4.1.2</v>
      </c>
      <c r="B124" s="19">
        <f>'11 - FINANCEIRA'!B124</f>
        <v>41264</v>
      </c>
      <c r="C124" s="20" t="str">
        <f>VLOOKUP(A124,'11 - FINANCEIRA'!A:AC,3,FALSE)</f>
        <v xml:space="preserve">Rip Rap em saco de areia </v>
      </c>
      <c r="D124" s="21">
        <f>'11 - FINANCEIRA'!Z124</f>
        <v>12</v>
      </c>
      <c r="E124" s="1796" t="str">
        <f>'11 - FINANCEIRA'!D155</f>
        <v>UNID</v>
      </c>
      <c r="F124" s="16" t="str">
        <f t="shared" si="6"/>
        <v>4.1.2</v>
      </c>
      <c r="G124" s="17" t="str">
        <f t="shared" si="9"/>
        <v>POSITIVO</v>
      </c>
      <c r="H124" s="17">
        <f>SUM(H126:H193)</f>
        <v>0</v>
      </c>
    </row>
    <row r="125" spans="1:8">
      <c r="A125" s="15" t="str">
        <f>'11 - FINANCEIRA'!A125</f>
        <v>4.1.3</v>
      </c>
      <c r="B125" s="1845">
        <f>'11 - FINANCEIRA'!B125</f>
        <v>50501</v>
      </c>
      <c r="C125" s="1846" t="str">
        <f>VLOOKUP(A125,'11 - FINANCEIRA'!A:AC,3,FALSE)</f>
        <v>Paredes de Contenção tipo Diafragma em bloco de 14</v>
      </c>
      <c r="D125" s="1847">
        <f>VLOOKUP(A125,'11 - FINANCEIRA'!A:AE,26,0)</f>
        <v>5.4000000000000057</v>
      </c>
      <c r="E125" s="1848" t="str">
        <f>VLOOKUP(A125,'11 - FINANCEIRA'!A:AC,4,0)</f>
        <v>M²</v>
      </c>
      <c r="F125" s="16" t="str">
        <f>A125</f>
        <v>4.1.3</v>
      </c>
      <c r="G125" s="17" t="str">
        <f t="shared" si="9"/>
        <v>POSITIVO</v>
      </c>
      <c r="H125" s="17">
        <f t="shared" ref="H125:H155" si="14">SUM(H126:H193)</f>
        <v>0</v>
      </c>
    </row>
    <row r="126" spans="1:8" hidden="1">
      <c r="A126" s="15" t="str">
        <f>'11 - FINANCEIRA'!A126</f>
        <v>4.1.4</v>
      </c>
      <c r="B126" s="1802">
        <f>'11 - FINANCEIRA'!B126</f>
        <v>40937</v>
      </c>
      <c r="C126" s="1803" t="str">
        <f>VLOOKUP(A126,'11 - FINANCEIRA'!A:AC,3,FALSE)</f>
        <v>Placa de sinalização com Chapas em Esmalte Sintético</v>
      </c>
      <c r="D126" s="1804">
        <f>VLOOKUP(A126,'11 - FINANCEIRA'!A:AE,20,0)</f>
        <v>0</v>
      </c>
      <c r="E126" s="1796">
        <f>'11 - FINANCEIRA'!D157</f>
        <v>0</v>
      </c>
      <c r="F126" s="16" t="str">
        <f t="shared" si="6"/>
        <v>4.1.4</v>
      </c>
      <c r="G126" s="17" t="str">
        <f t="shared" si="9"/>
        <v>NULO</v>
      </c>
      <c r="H126" s="17">
        <f t="shared" si="14"/>
        <v>0</v>
      </c>
    </row>
    <row r="127" spans="1:8" hidden="1">
      <c r="A127" s="15" t="str">
        <f>'11 - FINANCEIRA'!A127</f>
        <v>4.1.5</v>
      </c>
      <c r="B127" s="19">
        <f>'11 - FINANCEIRA'!B127</f>
        <v>41359</v>
      </c>
      <c r="C127" s="1438" t="str">
        <f>VLOOKUP(A127,'11 - FINANCEIRA'!A:AC,3,FALSE)</f>
        <v xml:space="preserve">Tela de Proteção de segurança de PVC cor Laranja com Suporte para Sinalização de Obra </v>
      </c>
      <c r="D127" s="1439">
        <f>VLOOKUP(A127,'11 - FINANCEIRA'!A:AE,26,0)</f>
        <v>0</v>
      </c>
      <c r="E127" s="1787" t="str">
        <f>VLOOKUP(A127,'11 - FINANCEIRA'!A:AC,4,0)</f>
        <v>m</v>
      </c>
      <c r="F127" s="16" t="str">
        <f t="shared" si="6"/>
        <v>4.1.5</v>
      </c>
      <c r="G127" s="17" t="str">
        <f t="shared" ref="G127:G155" si="15">IF(D127&gt;0,"POSITIVO",IF(D127=0,"NULO",IF(D127&lt;0,"NEGATIVO")))</f>
        <v>NULO</v>
      </c>
      <c r="H127" s="17">
        <f t="shared" si="14"/>
        <v>0</v>
      </c>
    </row>
    <row r="128" spans="1:8" hidden="1">
      <c r="A128" s="15" t="str">
        <f>'11 - FINANCEIRA'!A128</f>
        <v>4.1.6</v>
      </c>
      <c r="B128" s="1789" t="str">
        <f>'11 - FINANCEIRA'!B128</f>
        <v>CPU01</v>
      </c>
      <c r="C128" s="1444" t="str">
        <f>VLOOKUP(A128,'11 - FINANCEIRA'!A:AC,3,FALSE)</f>
        <v>Posto de vigilância noturna, feriados e fins de semana</v>
      </c>
      <c r="D128" s="1793">
        <f>VLOOKUP(A128,'11 - FINANCEIRA'!A:AE,26,0)</f>
        <v>0</v>
      </c>
      <c r="E128" s="1797">
        <f>'11 - FINANCEIRA'!D159</f>
        <v>0</v>
      </c>
      <c r="F128" s="16" t="str">
        <f t="shared" si="6"/>
        <v>4.1.6</v>
      </c>
      <c r="G128" s="17" t="str">
        <f t="shared" si="15"/>
        <v>NULO</v>
      </c>
      <c r="H128" s="17">
        <f t="shared" si="14"/>
        <v>0</v>
      </c>
    </row>
    <row r="129" spans="1:8">
      <c r="A129" s="15" t="str">
        <f>'11 - FINANCEIRA'!A129</f>
        <v>4.1.7</v>
      </c>
      <c r="B129" s="1850" t="str">
        <f>'11 - FINANCEIRA'!B129</f>
        <v>93585 sinap</v>
      </c>
      <c r="C129" s="1851" t="str">
        <f>VLOOKUP(A129,'11 - FINANCEIRA'!A:AC,3,FALSE)</f>
        <v>Execução de Guarita em Canteiro de Obra em chapa de Madeira compensada</v>
      </c>
      <c r="D129" s="1852">
        <f>VLOOKUP(A129,'11 - FINANCEIRA'!A:AE,26,0)</f>
        <v>4.1999999999999957</v>
      </c>
      <c r="E129" s="1864">
        <f>'11 - FINANCEIRA'!D160</f>
        <v>0</v>
      </c>
      <c r="F129" s="16" t="str">
        <f t="shared" si="6"/>
        <v>4.1.7</v>
      </c>
      <c r="G129" s="17" t="str">
        <f t="shared" si="15"/>
        <v>POSITIVO</v>
      </c>
      <c r="H129" s="17">
        <f t="shared" si="14"/>
        <v>0</v>
      </c>
    </row>
    <row r="130" spans="1:8">
      <c r="A130" s="15" t="str">
        <f>'11 - FINANCEIRA'!A130</f>
        <v>4.1.8</v>
      </c>
      <c r="B130" s="1845">
        <f>'11 - FINANCEIRA'!B130</f>
        <v>7010100210</v>
      </c>
      <c r="C130" s="1846" t="str">
        <f>VLOOKUP(A130,'11 - FINANCEIRA'!A:AC,3,FALSE)</f>
        <v xml:space="preserve">Banheiro químico </v>
      </c>
      <c r="D130" s="1847">
        <f>VLOOKUP(A130,'11 - FINANCEIRA'!A:AE,26,0)</f>
        <v>4</v>
      </c>
      <c r="E130" s="1848" t="str">
        <f>VLOOKUP(A130,'11 - FINANCEIRA'!A:AC,4,0)</f>
        <v>UNID</v>
      </c>
      <c r="F130" s="16" t="str">
        <f t="shared" ref="F130:F155" si="16">A130</f>
        <v>4.1.8</v>
      </c>
      <c r="G130" s="17" t="str">
        <f t="shared" si="15"/>
        <v>POSITIVO</v>
      </c>
      <c r="H130" s="17">
        <f t="shared" si="14"/>
        <v>0</v>
      </c>
    </row>
    <row r="131" spans="1:8" ht="25.5" hidden="1">
      <c r="A131" s="15" t="str">
        <f>'11 - FINANCEIRA'!A131</f>
        <v>4.1.9</v>
      </c>
      <c r="B131" s="1809">
        <f>'11 - FINANCEIRA'!B131</f>
        <v>2003985</v>
      </c>
      <c r="C131" s="1810" t="str">
        <f>VLOOKUP(A131,'11 - FINANCEIRA'!A:AC,3,FALSE)</f>
        <v>Fabricação, montagem e desmontagem de forma em chapa de madeira compensada resinada, E= 17mm</v>
      </c>
      <c r="D131" s="1811">
        <f>VLOOKUP(A131,'11 - FINANCEIRA'!A:AE,26,0)</f>
        <v>0</v>
      </c>
      <c r="E131" s="1816" t="str">
        <f>VLOOKUP(A131,'11 - FINANCEIRA'!A:AC,4,0)</f>
        <v>M²</v>
      </c>
      <c r="F131" s="16" t="str">
        <f t="shared" si="16"/>
        <v>4.1.9</v>
      </c>
      <c r="G131" s="17" t="str">
        <f t="shared" si="15"/>
        <v>NULO</v>
      </c>
      <c r="H131" s="17">
        <f t="shared" si="14"/>
        <v>0</v>
      </c>
    </row>
    <row r="132" spans="1:8" ht="25.5">
      <c r="A132" s="15" t="str">
        <f>'11 - FINANCEIRA'!A132</f>
        <v>4.1.10</v>
      </c>
      <c r="B132" s="1837" t="str">
        <f>'11 - FINANCEIRA'!B132</f>
        <v>7260100050 - CESAN</v>
      </c>
      <c r="C132" s="1838" t="str">
        <f>VLOOKUP(A132,'11 - FINANCEIRA'!A:AC,3,FALSE)</f>
        <v>Rede esgoto pvc nbr 7362 150mm 1,26 a 1,75 s/ pav</v>
      </c>
      <c r="D132" s="1839">
        <f>VLOOKUP(A132,'11 - FINANCEIRA'!A:AE,26,0)</f>
        <v>32</v>
      </c>
      <c r="E132" s="1840" t="str">
        <f>VLOOKUP(A132,'11 - FINANCEIRA'!A:AC,4,0)</f>
        <v>m</v>
      </c>
      <c r="F132" s="16" t="str">
        <f t="shared" si="16"/>
        <v>4.1.10</v>
      </c>
      <c r="G132" s="17" t="str">
        <f t="shared" si="15"/>
        <v>POSITIVO</v>
      </c>
      <c r="H132" s="17">
        <f t="shared" si="14"/>
        <v>0</v>
      </c>
    </row>
    <row r="133" spans="1:8" ht="25.5" hidden="1">
      <c r="A133" s="15" t="str">
        <f>'11 - FINANCEIRA'!A133</f>
        <v>4.1.11</v>
      </c>
      <c r="B133" s="1802" t="str">
        <f>'11 - FINANCEIRA'!B133</f>
        <v>7200100010 - CESAN</v>
      </c>
      <c r="C133" s="1806" t="str">
        <f>VLOOKUP(A133,'11 - FINANCEIRA'!A:AC,3,FALSE)</f>
        <v>Ligação Predial esgoto longa c/mat s/Pav</v>
      </c>
      <c r="D133" s="1807">
        <f>VLOOKUP(A133,'11 - FINANCEIRA'!A:AE,24,0)</f>
        <v>0</v>
      </c>
      <c r="E133" s="1812" t="str">
        <f>VLOOKUP(A133,'11 - FINANCEIRA'!A:AC,4,0)</f>
        <v>UND</v>
      </c>
      <c r="F133" s="16" t="str">
        <f t="shared" si="16"/>
        <v>4.1.11</v>
      </c>
      <c r="G133" s="17" t="str">
        <f t="shared" si="15"/>
        <v>NULO</v>
      </c>
      <c r="H133" s="17">
        <f t="shared" si="14"/>
        <v>0</v>
      </c>
    </row>
    <row r="134" spans="1:8" ht="25.5" hidden="1">
      <c r="A134" s="15" t="str">
        <f>'11 - FINANCEIRA'!A134</f>
        <v>4.1.12</v>
      </c>
      <c r="B134" s="19" t="str">
        <f>'11 - FINANCEIRA'!B134</f>
        <v>7010100050 - CESAN</v>
      </c>
      <c r="C134" s="1438" t="str">
        <f>VLOOKUP(A134,'11 - FINANCEIRA'!A:AC,3,FALSE)</f>
        <v>Barração para refeitorio</v>
      </c>
      <c r="D134" s="1439">
        <f>VLOOKUP(A134,'11 - FINANCEIRA'!A:AE,24,0)</f>
        <v>0</v>
      </c>
      <c r="E134" s="1440" t="str">
        <f>VLOOKUP(A134,'11 - FINANCEIRA'!A:AC,4,0)</f>
        <v>m²</v>
      </c>
      <c r="F134" s="16" t="str">
        <f t="shared" si="16"/>
        <v>4.1.12</v>
      </c>
      <c r="G134" s="17" t="str">
        <f t="shared" si="15"/>
        <v>NULO</v>
      </c>
      <c r="H134" s="17">
        <f t="shared" si="14"/>
        <v>0</v>
      </c>
    </row>
    <row r="135" spans="1:8" ht="25.5" hidden="1">
      <c r="A135" s="15" t="str">
        <f>'11 - FINANCEIRA'!A135</f>
        <v>4.1.13</v>
      </c>
      <c r="B135" s="19" t="str">
        <f>'11 - FINANCEIRA'!B135</f>
        <v>7010100010 - CESAN</v>
      </c>
      <c r="C135" s="1438" t="str">
        <f>VLOOKUP(A135,'11 - FINANCEIRA'!A:AC,3,FALSE)</f>
        <v>Barração para escritório da fiscalização</v>
      </c>
      <c r="D135" s="1439">
        <f>VLOOKUP(A135,'11 - FINANCEIRA'!A:AE,24,0)</f>
        <v>0</v>
      </c>
      <c r="E135" s="1440" t="str">
        <f>VLOOKUP(A135,'11 - FINANCEIRA'!A:AC,4,0)</f>
        <v>m²</v>
      </c>
      <c r="F135" s="16" t="str">
        <f t="shared" si="16"/>
        <v>4.1.13</v>
      </c>
      <c r="G135" s="17" t="str">
        <f t="shared" si="15"/>
        <v>NULO</v>
      </c>
      <c r="H135" s="17">
        <f t="shared" si="14"/>
        <v>0</v>
      </c>
    </row>
    <row r="136" spans="1:8" hidden="1">
      <c r="A136" s="15" t="str">
        <f>'11 - FINANCEIRA'!A136</f>
        <v>4.1.14</v>
      </c>
      <c r="B136" s="1789" t="str">
        <f>'11 - FINANCEIRA'!B136</f>
        <v>43003 - DER</v>
      </c>
      <c r="C136" s="1444" t="str">
        <f>VLOOKUP(A136,'11 - FINANCEIRA'!A:AC,3,FALSE)</f>
        <v>Lastro de brita inclusive transporte em vias urbanas</v>
      </c>
      <c r="D136" s="1793">
        <f>VLOOKUP(A136,'11 - FINANCEIRA'!A:AE,24,0)</f>
        <v>0</v>
      </c>
      <c r="E136" s="1795" t="str">
        <f>VLOOKUP(A136,'11 - FINANCEIRA'!A:AC,4,0)</f>
        <v>M³</v>
      </c>
      <c r="F136" s="16" t="str">
        <f t="shared" si="16"/>
        <v>4.1.14</v>
      </c>
      <c r="G136" s="17" t="str">
        <f t="shared" si="15"/>
        <v>NULO</v>
      </c>
      <c r="H136" s="17">
        <f t="shared" si="14"/>
        <v>0</v>
      </c>
    </row>
    <row r="137" spans="1:8">
      <c r="A137" s="15" t="str">
        <f>'11 - FINANCEIRA'!A137</f>
        <v>4.1.15</v>
      </c>
      <c r="B137" s="1837">
        <f>'11 - FINANCEIRA'!B137</f>
        <v>140903</v>
      </c>
      <c r="C137" s="1838" t="str">
        <f>VLOOKUP(A137,'11 - FINANCEIRA'!A:AC,3,FALSE)</f>
        <v>Tubo pvc rígido para esgoto no diâmetro de 100mm incluindo escavação e aterro</v>
      </c>
      <c r="D137" s="1839">
        <f>VLOOKUP(A137,'11 - FINANCEIRA'!A:AE,26,0)</f>
        <v>10.306633333333338</v>
      </c>
      <c r="E137" s="1840" t="str">
        <f>VLOOKUP(A137,'11 - FINANCEIRA'!A:AC,4,0)</f>
        <v>m</v>
      </c>
      <c r="F137" s="16" t="str">
        <f t="shared" si="16"/>
        <v>4.1.15</v>
      </c>
      <c r="G137" s="17" t="str">
        <f t="shared" si="15"/>
        <v>POSITIVO</v>
      </c>
      <c r="H137" s="17">
        <f t="shared" si="14"/>
        <v>0</v>
      </c>
    </row>
    <row r="138" spans="1:8" ht="25.5" hidden="1">
      <c r="A138" s="15" t="str">
        <f>'11 - FINANCEIRA'!A138</f>
        <v>4.1.16</v>
      </c>
      <c r="B138" s="1802">
        <f>'11 - FINANCEIRA'!B138</f>
        <v>42593</v>
      </c>
      <c r="C138" s="1806" t="str">
        <f>VLOOKUP(A138,'11 - FINANCEIRA'!A:AC,3,FALSE)</f>
        <v xml:space="preserve"> Remoção de solos moles, incluindo carregamento mecânico com escavadeira hidráulica emVias Urbanas</v>
      </c>
      <c r="D138" s="1807">
        <f>VLOOKUP(A138,'11 - FINANCEIRA'!A:AE,24,0)</f>
        <v>0</v>
      </c>
      <c r="E138" s="1812" t="str">
        <f>VLOOKUP(A138,'11 - FINANCEIRA'!A:AC,4,0)</f>
        <v>M³</v>
      </c>
      <c r="F138" s="16" t="str">
        <f t="shared" si="16"/>
        <v>4.1.16</v>
      </c>
      <c r="G138" s="17" t="str">
        <f t="shared" si="15"/>
        <v>NULO</v>
      </c>
      <c r="H138" s="17">
        <f t="shared" si="14"/>
        <v>0</v>
      </c>
    </row>
    <row r="139" spans="1:8" ht="25.5" hidden="1">
      <c r="A139" s="15" t="str">
        <f>'11 - FINANCEIRA'!A139</f>
        <v>4.1.17</v>
      </c>
      <c r="B139" s="19">
        <f>'11 - FINANCEIRA'!B139</f>
        <v>60019</v>
      </c>
      <c r="C139" s="1438" t="str">
        <f>VLOOKUP(A139,'11 - FINANCEIRA'!A:AC,3,FALSE)</f>
        <v>TRANSPORTE, CARGA E DESCARGA LOCAL COM DMT ATÉ 3,0 KM (Caminhão basculante)</v>
      </c>
      <c r="D139" s="1439">
        <f>VLOOKUP(A139,'11 - FINANCEIRA'!A:AE,24,0)</f>
        <v>0</v>
      </c>
      <c r="E139" s="1440" t="str">
        <f>VLOOKUP(A139,'11 - FINANCEIRA'!A:AC,4,0)</f>
        <v>T</v>
      </c>
      <c r="F139" s="16" t="str">
        <f t="shared" si="16"/>
        <v>4.1.17</v>
      </c>
      <c r="G139" s="17" t="str">
        <f t="shared" si="15"/>
        <v>NULO</v>
      </c>
      <c r="H139" s="17">
        <f t="shared" si="14"/>
        <v>0</v>
      </c>
    </row>
    <row r="140" spans="1:8" ht="38.25" hidden="1">
      <c r="A140" s="15" t="str">
        <f>'11 - FINANCEIRA'!A140</f>
        <v>4.1.18</v>
      </c>
      <c r="B140" s="1789" t="str">
        <f>'11 - FINANCEIRA'!B140</f>
        <v xml:space="preserve"> 88908 SINAP </v>
      </c>
      <c r="C140" s="1444" t="str">
        <f>VLOOKUP(A140,'11 - FINANCEIRA'!A:AC,3,FALSE)</f>
        <v xml:space="preserve">
Caixa ralo blocos pré-moldados e grelhas articulada em FFA em vias urbanas 
</v>
      </c>
      <c r="D140" s="1793">
        <f>VLOOKUP(A140,'11 - FINANCEIRA'!A:AE,24,0)</f>
        <v>0</v>
      </c>
      <c r="E140" s="1795" t="str">
        <f>VLOOKUP(A140,'11 - FINANCEIRA'!A:AC,4,0)</f>
        <v>Pç</v>
      </c>
      <c r="F140" s="16" t="str">
        <f t="shared" si="16"/>
        <v>4.1.18</v>
      </c>
      <c r="G140" s="17" t="str">
        <f t="shared" si="15"/>
        <v>NULO</v>
      </c>
      <c r="H140" s="17">
        <f t="shared" si="14"/>
        <v>0</v>
      </c>
    </row>
    <row r="141" spans="1:8">
      <c r="A141" s="15" t="str">
        <f>'11 - FINANCEIRA'!A141</f>
        <v>4.1.19</v>
      </c>
      <c r="B141" s="1837">
        <f>'11 - FINANCEIRA'!B141</f>
        <v>7010100280</v>
      </c>
      <c r="C141" s="1838" t="str">
        <f>VLOOKUP(A141,'11 - FINANCEIRA'!A:AC,3,FALSE)</f>
        <v>Grupo Gerador de energia 60 Kva</v>
      </c>
      <c r="D141" s="1839">
        <f>VLOOKUP(A141,'11 - FINANCEIRA'!A:AE,26,0)</f>
        <v>1.5</v>
      </c>
      <c r="E141" s="1840" t="str">
        <f>VLOOKUP(A141,'11 - FINANCEIRA'!A:AC,4,0)</f>
        <v xml:space="preserve">Mês </v>
      </c>
      <c r="F141" s="16" t="str">
        <f t="shared" si="16"/>
        <v>4.1.19</v>
      </c>
      <c r="G141" s="17" t="str">
        <f t="shared" si="15"/>
        <v>POSITIVO</v>
      </c>
      <c r="H141" s="17">
        <f t="shared" si="14"/>
        <v>0</v>
      </c>
    </row>
    <row r="142" spans="1:8" ht="25.5" hidden="1">
      <c r="A142" s="15" t="str">
        <f>'11 - FINANCEIRA'!A142</f>
        <v>4.1.20</v>
      </c>
      <c r="B142" s="1809" t="str">
        <f>'11 - FINANCEIRA'!B142</f>
        <v>CPU03</v>
      </c>
      <c r="C142" s="1810" t="str">
        <f>VLOOKUP(A142,'11 - FINANCEIRA'!A:AC,3,FALSE)</f>
        <v xml:space="preserve">SERVIÇOS DE APOIO À MOVIMENTAÇÃO DE MATERIAIS EM VIAS URBANAS ESTREITAS SEM POSSIBILIDADE DE MANOBRA </v>
      </c>
      <c r="D142" s="1811">
        <f>VLOOKUP(A142,'11 - FINANCEIRA'!A:AE,26,0)</f>
        <v>0</v>
      </c>
      <c r="E142" s="1816" t="str">
        <f>VLOOKUP(A142,'11 - FINANCEIRA'!A:AC,4,0)</f>
        <v>H</v>
      </c>
      <c r="F142" s="16" t="str">
        <f t="shared" si="16"/>
        <v>4.1.20</v>
      </c>
      <c r="G142" s="17" t="str">
        <f t="shared" si="15"/>
        <v>NULO</v>
      </c>
      <c r="H142" s="17">
        <f t="shared" si="14"/>
        <v>0</v>
      </c>
    </row>
    <row r="143" spans="1:8" ht="25.5">
      <c r="A143" s="15" t="str">
        <f>'11 - FINANCEIRA'!A143</f>
        <v>4.1.21</v>
      </c>
      <c r="B143" s="1837" t="str">
        <f>'11 - FINANCEIRA'!B143</f>
        <v>CPU02</v>
      </c>
      <c r="C143" s="1838" t="str">
        <f>VLOOKUP(A143,'11 - FINANCEIRA'!A:AC,3,FALSE)</f>
        <v>CONJUNTO MOTO BOMBA CENTRIFUGA 6", A DIESEL/GASOLINA, 24 CV, COM ACESSÓRIOS</v>
      </c>
      <c r="D143" s="1839">
        <f>VLOOKUP(A143,'11 - FINANCEIRA'!A:AE,26,0)</f>
        <v>1.3000000000000007</v>
      </c>
      <c r="E143" s="1840" t="str">
        <f>VLOOKUP(A143,'11 - FINANCEIRA'!A:AC,4,0)</f>
        <v>h</v>
      </c>
      <c r="F143" s="16" t="str">
        <f t="shared" si="16"/>
        <v>4.1.21</v>
      </c>
      <c r="G143" s="17" t="str">
        <f t="shared" si="15"/>
        <v>POSITIVO</v>
      </c>
      <c r="H143" s="17">
        <f t="shared" si="14"/>
        <v>0</v>
      </c>
    </row>
    <row r="144" spans="1:8" ht="38.25" hidden="1">
      <c r="A144" s="15" t="str">
        <f>'11 - FINANCEIRA'!A144</f>
        <v>4.1.22</v>
      </c>
      <c r="B144" s="1809" t="str">
        <f>'11 - FINANCEIRA'!B144</f>
        <v>CPU04</v>
      </c>
      <c r="C144" s="1810" t="str">
        <f>VLOOKUP(A144,'11 - FINANCEIRA'!A:AC,3,FALSE)</f>
        <v>Caixa de passagem de alvenaria de blocos de concreto 14x19x39cm, dimensões de 70x70x1,00m, com revestimento interno em chapisco e reboco tampa de concreto esp. 5cm e lastro de brita 5cm</v>
      </c>
      <c r="D144" s="1811">
        <f>VLOOKUP(A144,'11 - FINANCEIRA'!A:AE,24,0)</f>
        <v>0</v>
      </c>
      <c r="E144" s="1797" t="str">
        <f>VLOOKUP(A144,'11 - FINANCEIRA'!A:AC,4,0)</f>
        <v>UNID</v>
      </c>
      <c r="F144" s="16" t="str">
        <f t="shared" si="16"/>
        <v>4.1.22</v>
      </c>
      <c r="G144" s="17" t="str">
        <f t="shared" si="15"/>
        <v>NULO</v>
      </c>
      <c r="H144" s="17">
        <f t="shared" si="14"/>
        <v>0</v>
      </c>
    </row>
    <row r="145" spans="1:8">
      <c r="A145" s="15" t="str">
        <f>'11 - FINANCEIRA'!A145</f>
        <v>4.1.23</v>
      </c>
      <c r="B145" s="1837">
        <f>'11 - FINANCEIRA'!B145</f>
        <v>42047</v>
      </c>
      <c r="C145" s="1838" t="str">
        <f>VLOOKUP(A145,'11 - FINANCEIRA'!A:AC,3,FALSE)</f>
        <v>Elemento de Madeira para Sinalização - Cavaletes</v>
      </c>
      <c r="D145" s="1839">
        <f>VLOOKUP(A145,'11 - FINANCEIRA'!A:AE,26,0)</f>
        <v>19.799999999999997</v>
      </c>
      <c r="E145" s="1849" t="str">
        <f>VLOOKUP(A145,'11 - FINANCEIRA'!A:AC,4,0)</f>
        <v>UNID</v>
      </c>
      <c r="F145" s="16" t="str">
        <f t="shared" si="16"/>
        <v>4.1.23</v>
      </c>
      <c r="G145" s="17" t="str">
        <f t="shared" si="15"/>
        <v>POSITIVO</v>
      </c>
      <c r="H145" s="17">
        <f t="shared" si="14"/>
        <v>0</v>
      </c>
    </row>
    <row r="146" spans="1:8" hidden="1">
      <c r="A146" s="15" t="str">
        <f>'11 - FINANCEIRA'!A146</f>
        <v>4.1.24</v>
      </c>
      <c r="B146" s="1802">
        <f>'11 - FINANCEIRA'!B146</f>
        <v>7010100340</v>
      </c>
      <c r="C146" s="1806" t="str">
        <f>VLOOKUP(A146,'11 - FINANCEIRA'!A:AC,3,FALSE)</f>
        <v>MOB E DESMOB DE EQUIPAMENTOS &lt;=50KM</v>
      </c>
      <c r="D146" s="1807">
        <f>VLOOKUP(A146,'11 - FINANCEIRA'!A:AE,24,0)</f>
        <v>0</v>
      </c>
      <c r="E146" s="1812" t="str">
        <f>VLOOKUP(A146,'11 - FINANCEIRA'!A:AC,4,0)</f>
        <v>UNID</v>
      </c>
      <c r="F146" s="16" t="str">
        <f t="shared" si="16"/>
        <v>4.1.24</v>
      </c>
      <c r="G146" s="17" t="str">
        <f t="shared" si="15"/>
        <v>NULO</v>
      </c>
      <c r="H146" s="17">
        <f t="shared" si="14"/>
        <v>0</v>
      </c>
    </row>
    <row r="147" spans="1:8" ht="25.5" hidden="1">
      <c r="A147" s="15" t="str">
        <f>'11 - FINANCEIRA'!A147</f>
        <v>4.1.25</v>
      </c>
      <c r="B147" s="19">
        <f>'11 - FINANCEIRA'!B147</f>
        <v>42601</v>
      </c>
      <c r="C147" s="1438" t="str">
        <f>VLOOKUP(A147,'11 - FINANCEIRA'!A:AC,3,FALSE)</f>
        <v>Alvenaria de bloco (39 x 19 x 09) cm espessura 09 cm em Vias Urbanas, inclusive transporte, areia,cimento e bloco</v>
      </c>
      <c r="D147" s="1439">
        <f>VLOOKUP(A147,'11 - FINANCEIRA'!A:AE,24,0)</f>
        <v>0</v>
      </c>
      <c r="E147" s="1440" t="str">
        <f>VLOOKUP(A147,'11 - FINANCEIRA'!A:AC,4,0)</f>
        <v>UNID</v>
      </c>
      <c r="F147" s="16" t="str">
        <f t="shared" si="16"/>
        <v>4.1.25</v>
      </c>
      <c r="G147" s="17" t="str">
        <f t="shared" si="15"/>
        <v>NULO</v>
      </c>
      <c r="H147" s="17">
        <f t="shared" si="14"/>
        <v>0</v>
      </c>
    </row>
    <row r="148" spans="1:8" hidden="1">
      <c r="A148" s="15" t="str">
        <f>'11 - FINANCEIRA'!A148</f>
        <v>4.1.26</v>
      </c>
      <c r="B148" s="1789">
        <f>'11 - FINANCEIRA'!B148</f>
        <v>41224</v>
      </c>
      <c r="C148" s="1444" t="str">
        <f>VLOOKUP(A148,'11 - FINANCEIRA'!A:AC,3,FALSE)</f>
        <v>Religação de rede de água em PVC DN 20mm, inclusive conexões</v>
      </c>
      <c r="D148" s="1793">
        <f>VLOOKUP(A148,'11 - FINANCEIRA'!A:AE,26,0)</f>
        <v>0</v>
      </c>
      <c r="E148" s="1794" t="str">
        <f>VLOOKUP(A148,'11 - FINANCEIRA'!A:AC,4,0)</f>
        <v>M</v>
      </c>
      <c r="F148" s="16" t="str">
        <f t="shared" si="16"/>
        <v>4.1.26</v>
      </c>
      <c r="G148" s="17" t="str">
        <f t="shared" si="15"/>
        <v>NULO</v>
      </c>
      <c r="H148" s="17">
        <f t="shared" si="14"/>
        <v>0</v>
      </c>
    </row>
    <row r="149" spans="1:8">
      <c r="A149" s="15" t="str">
        <f>'11 - FINANCEIRA'!A149</f>
        <v>4.1.27</v>
      </c>
      <c r="B149" s="1837">
        <f>'11 - FINANCEIRA'!B149</f>
        <v>7030100090</v>
      </c>
      <c r="C149" s="1838" t="str">
        <f>VLOOKUP(A149,'11 - FINANCEIRA'!A:AC,3,FALSE)</f>
        <v xml:space="preserve">Ancoragem de Poste com risco de tombamento </v>
      </c>
      <c r="D149" s="1839">
        <f>VLOOKUP(A149,'11 - FINANCEIRA'!A:AE,26,0)</f>
        <v>1</v>
      </c>
      <c r="E149" s="1849" t="str">
        <f>VLOOKUP(A149,'11 - FINANCEIRA'!A:AC,4,0)</f>
        <v>UNID</v>
      </c>
      <c r="F149" s="16" t="str">
        <f t="shared" si="16"/>
        <v>4.1.27</v>
      </c>
      <c r="G149" s="17" t="str">
        <f t="shared" si="15"/>
        <v>POSITIVO</v>
      </c>
      <c r="H149" s="17">
        <f t="shared" si="14"/>
        <v>0</v>
      </c>
    </row>
    <row r="150" spans="1:8" hidden="1">
      <c r="A150" s="15" t="str">
        <f>'11 - FINANCEIRA'!A150</f>
        <v>4.1.28</v>
      </c>
      <c r="B150" s="1802" t="str">
        <f>'11 - FINANCEIRA'!B150</f>
        <v>CPU-05</v>
      </c>
      <c r="C150" s="1806" t="str">
        <f>VLOOKUP(A150,'11 - FINANCEIRA'!A:AC,3,FALSE)</f>
        <v>Caixa moldada de Junção IN-LOCO na estaca 2+14</v>
      </c>
      <c r="D150" s="1807">
        <f>VLOOKUP(A150,'11 - FINANCEIRA'!A:AE,24,0)</f>
        <v>0</v>
      </c>
      <c r="E150" s="1812" t="str">
        <f>VLOOKUP(A150,'11 - FINANCEIRA'!A:AC,4,0)</f>
        <v>UNID</v>
      </c>
      <c r="F150" s="16" t="str">
        <f t="shared" si="16"/>
        <v>4.1.28</v>
      </c>
      <c r="G150" s="17" t="str">
        <f t="shared" si="15"/>
        <v>NULO</v>
      </c>
      <c r="H150" s="17">
        <f t="shared" si="14"/>
        <v>0</v>
      </c>
    </row>
    <row r="151" spans="1:8" hidden="1">
      <c r="A151" s="15" t="str">
        <f>'11 - FINANCEIRA'!A151</f>
        <v>4.1.29</v>
      </c>
      <c r="B151" s="19" t="str">
        <f>'11 - FINANCEIRA'!B151</f>
        <v>CPU-06</v>
      </c>
      <c r="C151" s="1438" t="str">
        <f>VLOOKUP(A151,'11 - FINANCEIRA'!A:AC,3,FALSE)</f>
        <v>Caixa de Interseção na estaca 9+00</v>
      </c>
      <c r="D151" s="1439">
        <f>VLOOKUP(A151,'11 - FINANCEIRA'!A:AE,24,0)</f>
        <v>0</v>
      </c>
      <c r="E151" s="1440" t="str">
        <f>VLOOKUP(A151,'11 - FINANCEIRA'!A:AC,4,0)</f>
        <v>UNID</v>
      </c>
      <c r="F151" s="16" t="str">
        <f t="shared" si="16"/>
        <v>4.1.29</v>
      </c>
      <c r="G151" s="17" t="str">
        <f t="shared" si="15"/>
        <v>NULO</v>
      </c>
      <c r="H151" s="17">
        <f t="shared" si="14"/>
        <v>0</v>
      </c>
    </row>
    <row r="152" spans="1:8" hidden="1">
      <c r="A152" s="15" t="str">
        <f>'11 - FINANCEIRA'!A152</f>
        <v>4.1.30</v>
      </c>
      <c r="B152" s="19">
        <f>'11 - FINANCEIRA'!B152</f>
        <v>40893</v>
      </c>
      <c r="C152" s="1438" t="str">
        <f>VLOOKUP(A152,'11 - FINANCEIRA'!A:AC,3,FALSE)</f>
        <v>Remoção de meio Fio</v>
      </c>
      <c r="D152" s="1439">
        <f>VLOOKUP(A152,'11 - FINANCEIRA'!A:AE,26,0)</f>
        <v>0</v>
      </c>
      <c r="E152" s="1787" t="str">
        <f>VLOOKUP(A152,'11 - FINANCEIRA'!A:AC,4,0)</f>
        <v>UNID</v>
      </c>
      <c r="F152" s="16" t="str">
        <f t="shared" si="16"/>
        <v>4.1.30</v>
      </c>
      <c r="G152" s="17" t="str">
        <f t="shared" si="15"/>
        <v>NULO</v>
      </c>
      <c r="H152" s="17">
        <f t="shared" si="14"/>
        <v>0</v>
      </c>
    </row>
    <row r="153" spans="1:8" hidden="1">
      <c r="A153" s="15" t="str">
        <f>'11 - FINANCEIRA'!A153</f>
        <v>4.1.31</v>
      </c>
      <c r="B153" s="1789">
        <f>'11 - FINANCEIRA'!B153</f>
        <v>37478</v>
      </c>
      <c r="C153" s="1444" t="str">
        <f>VLOOKUP(A153,'11 - FINANCEIRA'!A:AC,3,FALSE)</f>
        <v>Corpo de BSCC 2,00 x 2,00 m</v>
      </c>
      <c r="D153" s="1793">
        <f>VLOOKUP(A153,'11 - FINANCEIRA'!A:AE,24,0)</f>
        <v>0</v>
      </c>
      <c r="E153" s="1795" t="str">
        <f>VLOOKUP(A153,'11 - FINANCEIRA'!A:AC,4,0)</f>
        <v>UNID</v>
      </c>
      <c r="F153" s="16" t="str">
        <f t="shared" si="16"/>
        <v>4.1.31</v>
      </c>
      <c r="G153" s="17" t="str">
        <f t="shared" si="15"/>
        <v>NULO</v>
      </c>
      <c r="H153" s="17">
        <f t="shared" si="14"/>
        <v>0</v>
      </c>
    </row>
    <row r="154" spans="1:8">
      <c r="A154" s="15" t="str">
        <f>'11 - FINANCEIRA'!A154</f>
        <v>4.1.32</v>
      </c>
      <c r="B154" s="1850">
        <f>'11 - FINANCEIRA'!B154</f>
        <v>43068</v>
      </c>
      <c r="C154" s="1851" t="str">
        <f>VLOOKUP(A154,'11 - FINANCEIRA'!A:AC,3,FALSE)</f>
        <v>Remanejamento de ligação e religação de redes de esgoto, em Vias Urbanas</v>
      </c>
      <c r="D154" s="1852">
        <f>VLOOKUP(A154,'11 - FINANCEIRA'!A:AE,26,0)</f>
        <v>2.5</v>
      </c>
      <c r="E154" s="1857" t="str">
        <f>VLOOKUP(A154,'11 - FINANCEIRA'!A:AC,4,0)</f>
        <v>UNID</v>
      </c>
      <c r="F154" s="16" t="str">
        <f t="shared" si="16"/>
        <v>4.1.32</v>
      </c>
      <c r="G154" s="17" t="str">
        <f t="shared" si="15"/>
        <v>POSITIVO</v>
      </c>
      <c r="H154" s="17">
        <f t="shared" si="14"/>
        <v>0</v>
      </c>
    </row>
    <row r="155" spans="1:8" ht="25.5">
      <c r="A155" s="15" t="str">
        <f>'11 - FINANCEIRA'!A155</f>
        <v>4.1.33</v>
      </c>
      <c r="B155" s="1845" t="str">
        <f>'11 - FINANCEIRA'!B155</f>
        <v>CPU-07</v>
      </c>
      <c r="C155" s="1846" t="str">
        <f>VLOOKUP(A155,'11 - FINANCEIRA'!A:AC,3,FALSE)</f>
        <v>Enrocamento de pedra espalhada com escavadeira hidráulica - rachão reciclado comercial - fornecimento, transporte e assentamento</v>
      </c>
      <c r="D155" s="1847">
        <f>'11 - FINANCEIRA'!Z155</f>
        <v>80.319999999999993</v>
      </c>
      <c r="E155" s="1854" t="str">
        <f>VLOOKUP(A155,'11 - FINANCEIRA'!A:AC,4,0)</f>
        <v>UNID</v>
      </c>
      <c r="F155" s="16" t="str">
        <f t="shared" si="16"/>
        <v>4.1.33</v>
      </c>
      <c r="G155" s="17" t="str">
        <f t="shared" si="15"/>
        <v>POSITIVO</v>
      </c>
      <c r="H155" s="17">
        <f t="shared" si="14"/>
        <v>0</v>
      </c>
    </row>
    <row r="156" spans="1:8" hidden="1">
      <c r="A156" s="15">
        <f>'11 - FINANCEIRA'!A156</f>
        <v>0</v>
      </c>
      <c r="B156" s="1199"/>
      <c r="C156" s="1810"/>
      <c r="D156" s="1445"/>
      <c r="E156" s="1788"/>
      <c r="F156" s="16"/>
      <c r="G156" s="28"/>
      <c r="H156" s="28"/>
    </row>
    <row r="157" spans="1:8" hidden="1">
      <c r="A157" s="15">
        <f>'11 - FINANCEIRA'!A157</f>
        <v>0</v>
      </c>
      <c r="B157" s="1199"/>
      <c r="C157" s="1200"/>
      <c r="F157" s="16"/>
      <c r="G157" s="28"/>
      <c r="H157" s="28"/>
    </row>
    <row r="158" spans="1:8" hidden="1">
      <c r="A158" s="15">
        <f>'11 - FINANCEIRA'!A158</f>
        <v>0</v>
      </c>
      <c r="B158" s="1199"/>
      <c r="C158" s="1200"/>
      <c r="F158" s="16"/>
      <c r="G158" s="28"/>
      <c r="H158" s="28"/>
    </row>
    <row r="159" spans="1:8" hidden="1">
      <c r="A159" s="15">
        <f>'11 - FINANCEIRA'!A159</f>
        <v>0</v>
      </c>
      <c r="B159" s="1199"/>
      <c r="C159" s="1200"/>
      <c r="F159" s="16"/>
      <c r="G159" s="28"/>
      <c r="H159" s="28"/>
    </row>
    <row r="160" spans="1:8" hidden="1">
      <c r="A160" s="15">
        <f>'11 - FINANCEIRA'!A160</f>
        <v>0</v>
      </c>
      <c r="F160" s="16"/>
      <c r="G160" s="28"/>
      <c r="H160" s="28"/>
    </row>
    <row r="161" spans="1:8" ht="49.5">
      <c r="A161" s="15" t="str">
        <f>'11 - FINANCEIRA'!A161</f>
        <v>TOTAL DO CONTRATO</v>
      </c>
      <c r="B161" s="1865"/>
      <c r="C161" s="1866" t="s">
        <v>113</v>
      </c>
      <c r="D161" s="1867"/>
      <c r="E161" s="1868"/>
      <c r="F161" s="16"/>
      <c r="G161" s="28"/>
      <c r="H161" s="28"/>
    </row>
    <row r="162" spans="1:8">
      <c r="A162" s="15">
        <f>'11 - FINANCEIRA'!A162</f>
        <v>0</v>
      </c>
      <c r="B162" s="1869"/>
      <c r="C162" s="1823" t="s">
        <v>1203</v>
      </c>
      <c r="E162" s="1870"/>
      <c r="F162" s="16"/>
      <c r="G162" s="28"/>
      <c r="H162" s="28"/>
    </row>
    <row r="163" spans="1:8">
      <c r="A163" s="15">
        <f>'11 - FINANCEIRA'!A163</f>
        <v>0</v>
      </c>
      <c r="B163" s="1871"/>
      <c r="C163" s="1872" t="s">
        <v>419</v>
      </c>
      <c r="D163" s="1873"/>
      <c r="E163" s="1874"/>
      <c r="F163" s="16"/>
      <c r="G163" s="28"/>
      <c r="H163" s="28"/>
    </row>
    <row r="164" spans="1:8">
      <c r="A164" s="15">
        <f>'11 - FINANCEIRA'!A164</f>
        <v>0</v>
      </c>
      <c r="C164" s="26"/>
      <c r="F164" s="16"/>
      <c r="G164" s="28"/>
      <c r="H164" s="28"/>
    </row>
    <row r="165" spans="1:8">
      <c r="A165" s="15">
        <f>'11 - FINANCEIRA'!A165</f>
        <v>0</v>
      </c>
      <c r="F165" s="16"/>
      <c r="G165" s="28"/>
      <c r="H165" s="28"/>
    </row>
    <row r="166" spans="1:8">
      <c r="A166" s="15">
        <f>'11 - FINANCEIRA'!A166</f>
        <v>0</v>
      </c>
      <c r="F166" s="16"/>
      <c r="G166" s="28"/>
      <c r="H166" s="28"/>
    </row>
    <row r="167" spans="1:8">
      <c r="A167" s="15">
        <f>'11 - FINANCEIRA'!A167</f>
        <v>0</v>
      </c>
      <c r="F167" s="16"/>
      <c r="G167" s="28"/>
      <c r="H167" s="28"/>
    </row>
    <row r="168" spans="1:8">
      <c r="A168" s="15">
        <f>'11 - FINANCEIRA'!A168</f>
        <v>0</v>
      </c>
      <c r="G168" s="28"/>
      <c r="H168" s="28"/>
    </row>
    <row r="169" spans="1:8">
      <c r="A169" s="15">
        <f>'11 - FINANCEIRA'!A169</f>
        <v>0</v>
      </c>
      <c r="G169" s="28"/>
      <c r="H169" s="28"/>
    </row>
    <row r="170" spans="1:8">
      <c r="A170" s="15">
        <f>'11 - FINANCEIRA'!A170</f>
        <v>0</v>
      </c>
      <c r="G170" s="28"/>
      <c r="H170" s="28"/>
    </row>
    <row r="171" spans="1:8">
      <c r="A171" s="15">
        <f>'11 - FINANCEIRA'!A171</f>
        <v>0</v>
      </c>
      <c r="G171" s="28"/>
      <c r="H171" s="28"/>
    </row>
    <row r="172" spans="1:8">
      <c r="A172" s="15">
        <f>'11 - FINANCEIRA'!A172</f>
        <v>0</v>
      </c>
      <c r="G172" s="28"/>
      <c r="H172" s="28"/>
    </row>
    <row r="173" spans="1:8">
      <c r="A173" s="15">
        <f>'11 - FINANCEIRA'!A173</f>
        <v>0</v>
      </c>
      <c r="G173" s="28"/>
      <c r="H173" s="28"/>
    </row>
    <row r="174" spans="1:8">
      <c r="A174" s="15">
        <f>'11 - FINANCEIRA'!A174</f>
        <v>0</v>
      </c>
      <c r="G174" s="28"/>
      <c r="H174" s="28"/>
    </row>
    <row r="175" spans="1:8">
      <c r="A175" s="15">
        <f>'11 - FINANCEIRA'!A175</f>
        <v>0</v>
      </c>
      <c r="G175" s="28"/>
      <c r="H175" s="28"/>
    </row>
    <row r="176" spans="1:8">
      <c r="A176" s="15">
        <f>'11 - FINANCEIRA'!A176</f>
        <v>0</v>
      </c>
      <c r="G176" s="28"/>
      <c r="H176" s="28"/>
    </row>
    <row r="177" spans="1:8">
      <c r="A177" s="15">
        <f>'11 - FINANCEIRA'!A177</f>
        <v>0</v>
      </c>
      <c r="G177" s="28"/>
      <c r="H177" s="28"/>
    </row>
    <row r="178" spans="1:8">
      <c r="A178" s="15">
        <f>'11 - FINANCEIRA'!A178</f>
        <v>0</v>
      </c>
      <c r="G178" s="28"/>
      <c r="H178" s="28"/>
    </row>
    <row r="179" spans="1:8">
      <c r="A179" s="15">
        <f>'11 - FINANCEIRA'!A179</f>
        <v>0</v>
      </c>
      <c r="G179" s="28"/>
      <c r="H179" s="28"/>
    </row>
    <row r="180" spans="1:8">
      <c r="A180" s="15">
        <f>'11 - FINANCEIRA'!A180</f>
        <v>0</v>
      </c>
      <c r="G180" s="28"/>
      <c r="H180" s="28"/>
    </row>
    <row r="181" spans="1:8">
      <c r="A181" s="15">
        <f>'11 - FINANCEIRA'!A181</f>
        <v>0</v>
      </c>
      <c r="G181" s="28"/>
      <c r="H181" s="28"/>
    </row>
    <row r="182" spans="1:8">
      <c r="A182" s="15">
        <f>'11 - FINANCEIRA'!A182</f>
        <v>0</v>
      </c>
      <c r="G182" s="28"/>
      <c r="H182" s="28"/>
    </row>
    <row r="183" spans="1:8">
      <c r="A183" s="15">
        <f>'11 - FINANCEIRA'!A183</f>
        <v>0</v>
      </c>
      <c r="G183" s="28"/>
      <c r="H183" s="28"/>
    </row>
    <row r="184" spans="1:8">
      <c r="A184" s="15">
        <f>'11 - FINANCEIRA'!A184</f>
        <v>0</v>
      </c>
      <c r="G184" s="28"/>
      <c r="H184" s="28"/>
    </row>
    <row r="185" spans="1:8">
      <c r="A185" s="15">
        <f>'11 - FINANCEIRA'!A185</f>
        <v>0</v>
      </c>
      <c r="G185" s="28"/>
      <c r="H185" s="28"/>
    </row>
    <row r="186" spans="1:8">
      <c r="A186" s="15">
        <f>'11 - FINANCEIRA'!A186</f>
        <v>0</v>
      </c>
      <c r="G186" s="28"/>
      <c r="H186" s="28"/>
    </row>
    <row r="187" spans="1:8">
      <c r="A187" s="15">
        <f>'11 - FINANCEIRA'!A187</f>
        <v>0</v>
      </c>
      <c r="G187" s="28"/>
      <c r="H187" s="28"/>
    </row>
    <row r="188" spans="1:8">
      <c r="A188" s="15">
        <f>'11 - FINANCEIRA'!A188</f>
        <v>0</v>
      </c>
      <c r="G188" s="28"/>
      <c r="H188" s="28"/>
    </row>
    <row r="189" spans="1:8">
      <c r="A189" s="15">
        <f>'11 - FINANCEIRA'!A189</f>
        <v>0</v>
      </c>
      <c r="G189" s="28"/>
      <c r="H189" s="28"/>
    </row>
    <row r="190" spans="1:8">
      <c r="A190" s="15">
        <f>'11 - FINANCEIRA'!A190</f>
        <v>0</v>
      </c>
      <c r="G190" s="28"/>
      <c r="H190" s="28"/>
    </row>
    <row r="191" spans="1:8">
      <c r="A191" s="15">
        <f>'11 - FINANCEIRA'!A191</f>
        <v>0</v>
      </c>
      <c r="G191" s="28"/>
      <c r="H191" s="28"/>
    </row>
    <row r="192" spans="1:8">
      <c r="A192" s="15">
        <f>'11 - FINANCEIRA'!A192</f>
        <v>0</v>
      </c>
      <c r="G192" s="28"/>
      <c r="H192" s="28"/>
    </row>
    <row r="193" spans="1:8">
      <c r="A193" s="15">
        <f>'11 - FINANCEIRA'!A193</f>
        <v>0</v>
      </c>
      <c r="G193" s="28"/>
      <c r="H193" s="28"/>
    </row>
    <row r="194" spans="1:8">
      <c r="A194" s="15">
        <f>'11 - FINANCEIRA'!A194</f>
        <v>0</v>
      </c>
      <c r="G194" s="28"/>
      <c r="H194" s="28"/>
    </row>
    <row r="195" spans="1:8">
      <c r="A195" s="15">
        <f>'11 - FINANCEIRA'!A195</f>
        <v>0</v>
      </c>
      <c r="G195" s="28"/>
      <c r="H195" s="28"/>
    </row>
    <row r="196" spans="1:8">
      <c r="A196" s="15">
        <f>'11 - FINANCEIRA'!A196</f>
        <v>0</v>
      </c>
      <c r="G196" s="28"/>
      <c r="H196" s="28"/>
    </row>
    <row r="197" spans="1:8">
      <c r="A197" s="15">
        <f>'11 - FINANCEIRA'!A197</f>
        <v>0</v>
      </c>
      <c r="G197" s="28"/>
      <c r="H197" s="28"/>
    </row>
    <row r="198" spans="1:8">
      <c r="A198" s="15">
        <f>'11 - FINANCEIRA'!A198</f>
        <v>0</v>
      </c>
      <c r="G198" s="28"/>
      <c r="H198" s="28"/>
    </row>
    <row r="199" spans="1:8">
      <c r="A199" s="15">
        <f>'11 - FINANCEIRA'!A199</f>
        <v>0</v>
      </c>
      <c r="G199" s="28"/>
      <c r="H199" s="28"/>
    </row>
    <row r="200" spans="1:8">
      <c r="A200" s="15">
        <f>'11 - FINANCEIRA'!A200</f>
        <v>0</v>
      </c>
      <c r="G200" s="28"/>
      <c r="H200" s="28"/>
    </row>
    <row r="201" spans="1:8">
      <c r="A201" s="15">
        <f>'11 - FINANCEIRA'!A201</f>
        <v>0</v>
      </c>
      <c r="G201" s="28"/>
      <c r="H201" s="28"/>
    </row>
    <row r="202" spans="1:8">
      <c r="A202" s="15">
        <f>'11 - FINANCEIRA'!A202</f>
        <v>0</v>
      </c>
      <c r="G202" s="28"/>
      <c r="H202" s="28"/>
    </row>
    <row r="203" spans="1:8">
      <c r="A203" s="15">
        <f>'11 - FINANCEIRA'!A203</f>
        <v>0</v>
      </c>
      <c r="G203" s="28"/>
      <c r="H203" s="28"/>
    </row>
    <row r="204" spans="1:8">
      <c r="A204" s="15">
        <f>'11 - FINANCEIRA'!A204</f>
        <v>0</v>
      </c>
      <c r="G204" s="28"/>
      <c r="H204" s="28"/>
    </row>
    <row r="205" spans="1:8">
      <c r="A205" s="15">
        <f>'11 - FINANCEIRA'!A205</f>
        <v>0</v>
      </c>
      <c r="G205" s="28"/>
      <c r="H205" s="28"/>
    </row>
    <row r="206" spans="1:8">
      <c r="A206" s="15">
        <f>'11 - FINANCEIRA'!A206</f>
        <v>0</v>
      </c>
      <c r="G206" s="28"/>
      <c r="H206" s="28"/>
    </row>
    <row r="207" spans="1:8">
      <c r="A207" s="15">
        <f>'11 - FINANCEIRA'!A207</f>
        <v>0</v>
      </c>
      <c r="G207" s="28"/>
      <c r="H207" s="28"/>
    </row>
    <row r="208" spans="1:8">
      <c r="G208" s="28"/>
      <c r="H208" s="28"/>
    </row>
    <row r="209" spans="7:8">
      <c r="G209" s="28"/>
      <c r="H209" s="28"/>
    </row>
    <row r="210" spans="7:8">
      <c r="G210" s="28"/>
      <c r="H210" s="28"/>
    </row>
    <row r="211" spans="7:8">
      <c r="G211" s="28"/>
      <c r="H211" s="28"/>
    </row>
    <row r="212" spans="7:8">
      <c r="G212" s="28"/>
      <c r="H212" s="28"/>
    </row>
    <row r="213" spans="7:8">
      <c r="G213" s="28"/>
      <c r="H213" s="28"/>
    </row>
    <row r="214" spans="7:8">
      <c r="G214" s="28"/>
      <c r="H214" s="28"/>
    </row>
    <row r="215" spans="7:8">
      <c r="G215" s="28"/>
      <c r="H215" s="28"/>
    </row>
    <row r="216" spans="7:8">
      <c r="G216" s="28"/>
      <c r="H216" s="28"/>
    </row>
    <row r="217" spans="7:8">
      <c r="G217" s="28"/>
      <c r="H217" s="28"/>
    </row>
    <row r="218" spans="7:8">
      <c r="G218" s="28"/>
      <c r="H218" s="28"/>
    </row>
    <row r="219" spans="7:8">
      <c r="G219" s="28"/>
      <c r="H219" s="28"/>
    </row>
    <row r="220" spans="7:8">
      <c r="G220" s="28"/>
      <c r="H220" s="28"/>
    </row>
    <row r="221" spans="7:8">
      <c r="G221" s="28"/>
      <c r="H221" s="28"/>
    </row>
    <row r="222" spans="7:8">
      <c r="G222" s="28"/>
      <c r="H222" s="28"/>
    </row>
    <row r="223" spans="7:8">
      <c r="G223" s="28"/>
      <c r="H223" s="28"/>
    </row>
    <row r="224" spans="7:8">
      <c r="G224" s="28"/>
      <c r="H224" s="28"/>
    </row>
    <row r="225" spans="7:8">
      <c r="G225" s="28"/>
      <c r="H225" s="28"/>
    </row>
    <row r="226" spans="7:8">
      <c r="G226" s="28"/>
      <c r="H226" s="28"/>
    </row>
    <row r="227" spans="7:8">
      <c r="G227" s="28"/>
      <c r="H227" s="28"/>
    </row>
    <row r="228" spans="7:8">
      <c r="G228" s="28"/>
      <c r="H228" s="28"/>
    </row>
    <row r="229" spans="7:8">
      <c r="G229" s="28"/>
      <c r="H229" s="28"/>
    </row>
    <row r="230" spans="7:8">
      <c r="G230" s="28"/>
      <c r="H230" s="28"/>
    </row>
    <row r="231" spans="7:8">
      <c r="G231" s="28"/>
      <c r="H231" s="28"/>
    </row>
    <row r="232" spans="7:8">
      <c r="G232" s="28"/>
      <c r="H232" s="28"/>
    </row>
    <row r="233" spans="7:8">
      <c r="G233" s="28"/>
      <c r="H233" s="28"/>
    </row>
    <row r="234" spans="7:8">
      <c r="G234" s="28"/>
      <c r="H234" s="28"/>
    </row>
    <row r="235" spans="7:8">
      <c r="G235" s="28"/>
      <c r="H235" s="28"/>
    </row>
    <row r="236" spans="7:8">
      <c r="G236" s="28"/>
      <c r="H236" s="28"/>
    </row>
    <row r="237" spans="7:8">
      <c r="G237" s="28"/>
      <c r="H237" s="28"/>
    </row>
    <row r="238" spans="7:8">
      <c r="G238" s="28"/>
      <c r="H238" s="28"/>
    </row>
    <row r="239" spans="7:8">
      <c r="G239" s="28"/>
      <c r="H239" s="28"/>
    </row>
    <row r="240" spans="7:8">
      <c r="G240" s="28"/>
      <c r="H240" s="28"/>
    </row>
    <row r="241" spans="7:8">
      <c r="G241" s="28"/>
      <c r="H241" s="28"/>
    </row>
    <row r="242" spans="7:8">
      <c r="G242" s="28"/>
      <c r="H242" s="28"/>
    </row>
    <row r="243" spans="7:8">
      <c r="G243" s="28"/>
      <c r="H243" s="28"/>
    </row>
    <row r="244" spans="7:8">
      <c r="G244" s="28"/>
      <c r="H244" s="28"/>
    </row>
    <row r="245" spans="7:8">
      <c r="G245" s="28"/>
      <c r="H245" s="28"/>
    </row>
    <row r="246" spans="7:8">
      <c r="G246" s="28"/>
      <c r="H246" s="28"/>
    </row>
    <row r="247" spans="7:8">
      <c r="G247" s="28"/>
      <c r="H247" s="28"/>
    </row>
    <row r="248" spans="7:8">
      <c r="G248" s="28"/>
      <c r="H248" s="28"/>
    </row>
    <row r="249" spans="7:8">
      <c r="G249" s="28"/>
      <c r="H249" s="28"/>
    </row>
    <row r="250" spans="7:8">
      <c r="G250" s="28"/>
      <c r="H250" s="28"/>
    </row>
    <row r="251" spans="7:8">
      <c r="G251" s="28"/>
      <c r="H251" s="28"/>
    </row>
    <row r="252" spans="7:8">
      <c r="G252" s="28"/>
      <c r="H252" s="28"/>
    </row>
    <row r="253" spans="7:8">
      <c r="G253" s="28"/>
      <c r="H253" s="28"/>
    </row>
    <row r="254" spans="7:8">
      <c r="G254" s="28"/>
      <c r="H254" s="28"/>
    </row>
    <row r="255" spans="7:8">
      <c r="G255" s="28"/>
      <c r="H255" s="28"/>
    </row>
    <row r="256" spans="7:8">
      <c r="G256" s="28"/>
      <c r="H256" s="28"/>
    </row>
    <row r="257" spans="7:8">
      <c r="G257" s="28"/>
      <c r="H257" s="28"/>
    </row>
    <row r="258" spans="7:8">
      <c r="G258" s="28"/>
      <c r="H258" s="28"/>
    </row>
    <row r="259" spans="7:8">
      <c r="G259" s="28"/>
      <c r="H259" s="28"/>
    </row>
    <row r="260" spans="7:8">
      <c r="G260" s="28"/>
      <c r="H260" s="28"/>
    </row>
    <row r="261" spans="7:8">
      <c r="G261" s="28"/>
      <c r="H261" s="28"/>
    </row>
    <row r="262" spans="7:8">
      <c r="G262" s="28"/>
      <c r="H262" s="28"/>
    </row>
    <row r="263" spans="7:8">
      <c r="G263" s="28"/>
      <c r="H263" s="28"/>
    </row>
    <row r="264" spans="7:8">
      <c r="G264" s="28"/>
      <c r="H264" s="28"/>
    </row>
    <row r="265" spans="7:8">
      <c r="G265" s="28"/>
      <c r="H265" s="28"/>
    </row>
    <row r="266" spans="7:8">
      <c r="G266" s="28"/>
      <c r="H266" s="28"/>
    </row>
    <row r="267" spans="7:8">
      <c r="G267" s="28"/>
      <c r="H267" s="28"/>
    </row>
    <row r="268" spans="7:8">
      <c r="G268" s="28"/>
      <c r="H268" s="28"/>
    </row>
    <row r="269" spans="7:8">
      <c r="G269" s="28"/>
      <c r="H269" s="28"/>
    </row>
    <row r="270" spans="7:8">
      <c r="G270" s="28"/>
      <c r="H270" s="28"/>
    </row>
    <row r="271" spans="7:8">
      <c r="G271" s="28"/>
      <c r="H271" s="28"/>
    </row>
    <row r="272" spans="7:8">
      <c r="G272" s="28"/>
      <c r="H272" s="28"/>
    </row>
    <row r="273" spans="7:8">
      <c r="G273" s="28"/>
      <c r="H273" s="28"/>
    </row>
    <row r="274" spans="7:8">
      <c r="G274" s="28"/>
      <c r="H274" s="28"/>
    </row>
    <row r="275" spans="7:8">
      <c r="G275" s="28"/>
      <c r="H275" s="28"/>
    </row>
    <row r="276" spans="7:8">
      <c r="G276" s="28"/>
      <c r="H276" s="28"/>
    </row>
    <row r="277" spans="7:8">
      <c r="G277" s="28"/>
      <c r="H277" s="28"/>
    </row>
    <row r="278" spans="7:8">
      <c r="G278" s="28"/>
      <c r="H278" s="28"/>
    </row>
    <row r="279" spans="7:8">
      <c r="G279" s="28"/>
      <c r="H279" s="28"/>
    </row>
    <row r="280" spans="7:8">
      <c r="G280" s="28"/>
      <c r="H280" s="28"/>
    </row>
    <row r="281" spans="7:8">
      <c r="G281" s="28"/>
      <c r="H281" s="28"/>
    </row>
    <row r="282" spans="7:8">
      <c r="G282" s="28"/>
      <c r="H282" s="28"/>
    </row>
    <row r="283" spans="7:8">
      <c r="G283" s="28"/>
      <c r="H283" s="28"/>
    </row>
    <row r="284" spans="7:8">
      <c r="G284" s="28"/>
      <c r="H284" s="28"/>
    </row>
    <row r="285" spans="7:8">
      <c r="G285" s="28"/>
      <c r="H285" s="28"/>
    </row>
    <row r="286" spans="7:8">
      <c r="G286" s="28"/>
      <c r="H286" s="28"/>
    </row>
    <row r="287" spans="7:8">
      <c r="G287" s="28"/>
      <c r="H287" s="28"/>
    </row>
    <row r="288" spans="7:8">
      <c r="G288" s="28"/>
      <c r="H288" s="28"/>
    </row>
    <row r="289" spans="7:8">
      <c r="G289" s="28"/>
      <c r="H289" s="28"/>
    </row>
    <row r="290" spans="7:8">
      <c r="G290" s="28"/>
      <c r="H290" s="28"/>
    </row>
    <row r="291" spans="7:8">
      <c r="G291" s="28"/>
      <c r="H291" s="28"/>
    </row>
    <row r="292" spans="7:8">
      <c r="G292" s="28"/>
      <c r="H292" s="28"/>
    </row>
    <row r="293" spans="7:8">
      <c r="G293" s="28"/>
      <c r="H293" s="28"/>
    </row>
    <row r="294" spans="7:8">
      <c r="G294" s="28"/>
      <c r="H294" s="28"/>
    </row>
    <row r="295" spans="7:8">
      <c r="G295" s="28"/>
      <c r="H295" s="28"/>
    </row>
    <row r="296" spans="7:8">
      <c r="G296" s="28"/>
      <c r="H296" s="28"/>
    </row>
    <row r="297" spans="7:8">
      <c r="G297" s="28"/>
      <c r="H297" s="28"/>
    </row>
    <row r="298" spans="7:8">
      <c r="G298" s="28"/>
      <c r="H298" s="28"/>
    </row>
    <row r="299" spans="7:8">
      <c r="G299" s="28"/>
      <c r="H299" s="28"/>
    </row>
    <row r="300" spans="7:8">
      <c r="G300" s="28"/>
      <c r="H300" s="28"/>
    </row>
    <row r="301" spans="7:8">
      <c r="G301" s="28"/>
      <c r="H301" s="28"/>
    </row>
    <row r="302" spans="7:8">
      <c r="G302" s="28"/>
      <c r="H302" s="28"/>
    </row>
    <row r="303" spans="7:8">
      <c r="G303" s="28"/>
      <c r="H303" s="28"/>
    </row>
    <row r="304" spans="7:8">
      <c r="G304" s="28"/>
      <c r="H304" s="28"/>
    </row>
    <row r="305" spans="7:8">
      <c r="G305" s="28"/>
      <c r="H305" s="28"/>
    </row>
    <row r="306" spans="7:8">
      <c r="G306" s="28"/>
      <c r="H306" s="28"/>
    </row>
    <row r="307" spans="7:8">
      <c r="G307" s="28"/>
      <c r="H307" s="28"/>
    </row>
    <row r="308" spans="7:8">
      <c r="G308" s="28"/>
      <c r="H308" s="28"/>
    </row>
    <row r="309" spans="7:8">
      <c r="G309" s="28"/>
      <c r="H309" s="28"/>
    </row>
    <row r="310" spans="7:8">
      <c r="G310" s="28"/>
      <c r="H310" s="28"/>
    </row>
    <row r="311" spans="7:8">
      <c r="G311" s="28"/>
      <c r="H311" s="28"/>
    </row>
    <row r="312" spans="7:8">
      <c r="G312" s="28"/>
      <c r="H312" s="28"/>
    </row>
    <row r="313" spans="7:8">
      <c r="G313" s="28"/>
      <c r="H313" s="28"/>
    </row>
    <row r="314" spans="7:8">
      <c r="G314" s="28"/>
      <c r="H314" s="28"/>
    </row>
    <row r="315" spans="7:8">
      <c r="G315" s="28"/>
      <c r="H315" s="28"/>
    </row>
    <row r="316" spans="7:8">
      <c r="G316" s="28"/>
      <c r="H316" s="28"/>
    </row>
    <row r="317" spans="7:8">
      <c r="G317" s="28"/>
      <c r="H317" s="28"/>
    </row>
    <row r="318" spans="7:8">
      <c r="G318" s="28"/>
      <c r="H318" s="28"/>
    </row>
    <row r="319" spans="7:8">
      <c r="G319" s="28"/>
      <c r="H319" s="28"/>
    </row>
    <row r="320" spans="7:8">
      <c r="G320" s="28"/>
      <c r="H320" s="28"/>
    </row>
    <row r="321" spans="7:8">
      <c r="G321" s="28"/>
      <c r="H321" s="28"/>
    </row>
    <row r="322" spans="7:8">
      <c r="G322" s="28"/>
      <c r="H322" s="28"/>
    </row>
    <row r="323" spans="7:8">
      <c r="G323" s="28"/>
      <c r="H323" s="28"/>
    </row>
    <row r="324" spans="7:8">
      <c r="G324" s="28"/>
      <c r="H324" s="28"/>
    </row>
    <row r="325" spans="7:8">
      <c r="G325" s="28"/>
      <c r="H325" s="28"/>
    </row>
    <row r="326" spans="7:8">
      <c r="G326" s="28"/>
      <c r="H326" s="28"/>
    </row>
    <row r="327" spans="7:8">
      <c r="G327" s="28"/>
      <c r="H327" s="28"/>
    </row>
    <row r="328" spans="7:8">
      <c r="G328" s="28"/>
      <c r="H328" s="28"/>
    </row>
    <row r="329" spans="7:8">
      <c r="G329" s="28"/>
      <c r="H329" s="28"/>
    </row>
    <row r="330" spans="7:8">
      <c r="G330" s="28"/>
      <c r="H330" s="28"/>
    </row>
    <row r="331" spans="7:8">
      <c r="G331" s="28"/>
      <c r="H331" s="28"/>
    </row>
    <row r="332" spans="7:8">
      <c r="G332" s="28"/>
      <c r="H332" s="28"/>
    </row>
    <row r="333" spans="7:8">
      <c r="G333" s="28"/>
      <c r="H333" s="28"/>
    </row>
    <row r="334" spans="7:8">
      <c r="G334" s="28"/>
      <c r="H334" s="28"/>
    </row>
    <row r="335" spans="7:8">
      <c r="G335" s="28"/>
      <c r="H335" s="28"/>
    </row>
    <row r="336" spans="7:8">
      <c r="G336" s="28"/>
      <c r="H336" s="28"/>
    </row>
    <row r="337" spans="7:8">
      <c r="G337" s="28"/>
      <c r="H337" s="28"/>
    </row>
    <row r="338" spans="7:8">
      <c r="G338" s="28"/>
      <c r="H338" s="28"/>
    </row>
    <row r="339" spans="7:8">
      <c r="G339" s="28"/>
      <c r="H339" s="28"/>
    </row>
    <row r="340" spans="7:8">
      <c r="G340" s="28"/>
      <c r="H340" s="28"/>
    </row>
    <row r="341" spans="7:8">
      <c r="G341" s="28"/>
      <c r="H341" s="28"/>
    </row>
    <row r="342" spans="7:8">
      <c r="G342" s="28"/>
      <c r="H342" s="28"/>
    </row>
    <row r="343" spans="7:8">
      <c r="G343" s="28"/>
      <c r="H343" s="28"/>
    </row>
    <row r="344" spans="7:8">
      <c r="G344" s="28"/>
      <c r="H344" s="28"/>
    </row>
    <row r="345" spans="7:8">
      <c r="G345" s="28"/>
      <c r="H345" s="28"/>
    </row>
    <row r="346" spans="7:8">
      <c r="G346" s="28"/>
      <c r="H346" s="28"/>
    </row>
    <row r="347" spans="7:8">
      <c r="G347" s="28"/>
      <c r="H347" s="28"/>
    </row>
    <row r="348" spans="7:8">
      <c r="G348" s="28"/>
      <c r="H348" s="28"/>
    </row>
    <row r="349" spans="7:8">
      <c r="G349" s="28"/>
      <c r="H349" s="28"/>
    </row>
    <row r="350" spans="7:8">
      <c r="G350" s="28"/>
      <c r="H350" s="28"/>
    </row>
    <row r="351" spans="7:8">
      <c r="G351" s="28"/>
      <c r="H351" s="28"/>
    </row>
    <row r="352" spans="7:8">
      <c r="G352" s="28"/>
      <c r="H352" s="28"/>
    </row>
    <row r="353" spans="7:8">
      <c r="G353" s="28"/>
      <c r="H353" s="28"/>
    </row>
    <row r="354" spans="7:8">
      <c r="G354" s="28"/>
      <c r="H354" s="28"/>
    </row>
    <row r="355" spans="7:8">
      <c r="G355" s="28"/>
      <c r="H355" s="28"/>
    </row>
    <row r="356" spans="7:8">
      <c r="G356" s="28"/>
      <c r="H356" s="28"/>
    </row>
    <row r="357" spans="7:8">
      <c r="G357" s="28"/>
      <c r="H357" s="28"/>
    </row>
    <row r="358" spans="7:8">
      <c r="G358" s="28"/>
      <c r="H358" s="28"/>
    </row>
    <row r="359" spans="7:8">
      <c r="G359" s="28"/>
      <c r="H359" s="28"/>
    </row>
    <row r="360" spans="7:8">
      <c r="G360" s="28"/>
      <c r="H360" s="28"/>
    </row>
    <row r="361" spans="7:8">
      <c r="G361" s="28"/>
      <c r="H361" s="28"/>
    </row>
    <row r="362" spans="7:8">
      <c r="G362" s="28"/>
      <c r="H362" s="28"/>
    </row>
    <row r="363" spans="7:8">
      <c r="G363" s="28"/>
      <c r="H363" s="28"/>
    </row>
    <row r="395" spans="9:9">
      <c r="I395" s="29">
        <v>11</v>
      </c>
    </row>
  </sheetData>
  <autoFilter ref="A14:H132" xr:uid="{00000000-0009-0000-0000-000000000000}">
    <filterColumn colId="1" showButton="0"/>
    <filterColumn colId="2" showButton="0"/>
    <filterColumn colId="3" showButton="0"/>
    <filterColumn colId="7">
      <filters blank="1">
        <filter val="1"/>
        <filter val="2"/>
        <filter val="28"/>
        <filter val="3"/>
        <filter val="9"/>
      </filters>
    </filterColumn>
  </autoFilter>
  <mergeCells count="5">
    <mergeCell ref="C2:C5"/>
    <mergeCell ref="B14:E14"/>
    <mergeCell ref="C42:E42"/>
    <mergeCell ref="C44:E44"/>
    <mergeCell ref="C49:E49"/>
  </mergeCells>
  <printOptions horizontalCentered="1"/>
  <pageMargins left="0.25" right="0.25" top="0.75" bottom="0.75" header="0.3" footer="0.3"/>
  <pageSetup paperSize="9" scale="88"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U836"/>
  <sheetViews>
    <sheetView view="pageBreakPreview" topLeftCell="A322" zoomScale="136" zoomScaleNormal="40" zoomScaleSheetLayoutView="136" workbookViewId="0">
      <selection activeCell="S13" sqref="S13"/>
    </sheetView>
  </sheetViews>
  <sheetFormatPr defaultColWidth="9.140625" defaultRowHeight="12.75"/>
  <cols>
    <col min="1" max="1" width="7" style="921" customWidth="1"/>
    <col min="2" max="7" width="6.5703125" style="921" customWidth="1"/>
    <col min="8" max="8" width="0.5703125" style="921" customWidth="1"/>
    <col min="9" max="14" width="6.5703125" style="921" customWidth="1"/>
    <col min="15" max="15" width="5.5703125" style="921" customWidth="1"/>
    <col min="16" max="27" width="4.7109375" style="921" customWidth="1"/>
    <col min="28" max="16384" width="9.140625" style="921"/>
  </cols>
  <sheetData>
    <row r="1" spans="1:21" ht="12.75" customHeight="1">
      <c r="A1" s="2388"/>
      <c r="B1" s="2389"/>
      <c r="C1" s="2389"/>
      <c r="D1" s="2389"/>
      <c r="E1" s="923"/>
      <c r="F1" s="923"/>
      <c r="G1" s="923"/>
      <c r="H1" s="923"/>
      <c r="I1" s="923"/>
      <c r="J1" s="923"/>
      <c r="K1" s="923"/>
      <c r="L1" s="2392"/>
      <c r="M1" s="2389"/>
      <c r="N1" s="2393"/>
    </row>
    <row r="2" spans="1:21" ht="23.25" customHeight="1">
      <c r="A2" s="2390"/>
      <c r="B2" s="2391"/>
      <c r="C2" s="2391"/>
      <c r="D2" s="2391"/>
      <c r="E2" s="2314"/>
      <c r="F2" s="2314"/>
      <c r="G2" s="2314"/>
      <c r="H2" s="2314"/>
      <c r="I2" s="2314"/>
      <c r="J2" s="2314"/>
      <c r="K2" s="2314"/>
      <c r="L2" s="2391"/>
      <c r="M2" s="2391"/>
      <c r="N2" s="2394"/>
    </row>
    <row r="3" spans="1:21" ht="17.25" customHeight="1">
      <c r="A3" s="2390"/>
      <c r="B3" s="2391"/>
      <c r="C3" s="2391"/>
      <c r="D3" s="2391"/>
      <c r="E3" s="2316"/>
      <c r="F3" s="2316"/>
      <c r="G3" s="2316"/>
      <c r="H3" s="2316"/>
      <c r="I3" s="2316"/>
      <c r="J3" s="2316"/>
      <c r="K3" s="2316"/>
      <c r="L3" s="2391"/>
      <c r="M3" s="2391"/>
      <c r="N3" s="2394"/>
    </row>
    <row r="4" spans="1:21" ht="15.75" thickBot="1">
      <c r="A4" s="2395"/>
      <c r="B4" s="2396"/>
      <c r="C4" s="2396"/>
      <c r="D4" s="2396"/>
      <c r="E4" s="922"/>
      <c r="F4" s="922"/>
      <c r="G4" s="922"/>
      <c r="H4" s="922"/>
      <c r="I4" s="922"/>
      <c r="J4" s="2397"/>
      <c r="K4" s="2397"/>
      <c r="L4" s="2397"/>
      <c r="M4" s="2397"/>
      <c r="N4" s="2398"/>
    </row>
    <row r="5" spans="1:21" ht="8.25" customHeight="1">
      <c r="A5" s="2317"/>
      <c r="D5" s="2318"/>
      <c r="E5" s="2319"/>
      <c r="F5" s="2319"/>
      <c r="G5" s="2319"/>
      <c r="H5" s="2319"/>
      <c r="I5" s="2319"/>
      <c r="J5" s="2319"/>
      <c r="K5" s="2319"/>
      <c r="L5" s="2319"/>
      <c r="M5" s="2319"/>
      <c r="N5" s="2320"/>
    </row>
    <row r="6" spans="1:21" ht="12.75" customHeight="1">
      <c r="A6" s="2399" t="s">
        <v>631</v>
      </c>
      <c r="B6" s="2400"/>
      <c r="C6" s="2400"/>
      <c r="D6" s="2400"/>
      <c r="E6" s="2400"/>
      <c r="F6" s="2400"/>
      <c r="G6" s="2400"/>
      <c r="H6" s="2400"/>
      <c r="I6" s="2400"/>
      <c r="J6" s="2400"/>
      <c r="K6" s="2400"/>
      <c r="L6" s="2400"/>
      <c r="M6" s="2400"/>
      <c r="N6" s="2401"/>
      <c r="O6" s="1132"/>
      <c r="P6" s="1132"/>
    </row>
    <row r="7" spans="1:21" ht="6.75" customHeight="1">
      <c r="A7" s="2402"/>
      <c r="B7" s="2403"/>
      <c r="C7" s="2403"/>
      <c r="D7" s="2403"/>
      <c r="E7" s="2403"/>
      <c r="F7" s="2403"/>
      <c r="G7" s="2403"/>
      <c r="H7" s="2403"/>
      <c r="I7" s="2403"/>
      <c r="J7" s="2403"/>
      <c r="K7" s="2403"/>
      <c r="L7" s="2403"/>
      <c r="M7" s="2403"/>
      <c r="N7" s="2404"/>
    </row>
    <row r="8" spans="1:21" ht="5.0999999999999996" customHeight="1">
      <c r="A8" s="2313"/>
      <c r="B8" s="923"/>
      <c r="C8" s="923"/>
      <c r="D8" s="924"/>
      <c r="E8" s="925"/>
      <c r="F8" s="925"/>
      <c r="G8" s="925"/>
      <c r="H8" s="925"/>
      <c r="I8" s="925"/>
      <c r="J8" s="925"/>
      <c r="K8" s="925"/>
      <c r="L8" s="925"/>
      <c r="M8" s="925"/>
      <c r="N8" s="2321"/>
    </row>
    <row r="9" spans="1:21" ht="9" customHeight="1">
      <c r="A9" s="2405" t="s">
        <v>646</v>
      </c>
      <c r="B9" s="2406"/>
      <c r="C9" s="2406"/>
      <c r="D9" s="2406"/>
      <c r="E9" s="2406"/>
      <c r="F9" s="2406"/>
      <c r="G9" s="2406"/>
      <c r="H9" s="2406"/>
      <c r="I9" s="2406"/>
      <c r="J9" s="2406"/>
      <c r="K9" s="2406"/>
      <c r="L9" s="2406"/>
      <c r="M9" s="2406"/>
      <c r="N9" s="2407"/>
      <c r="O9" s="926"/>
      <c r="P9" s="926"/>
    </row>
    <row r="10" spans="1:21" ht="12.75" customHeight="1">
      <c r="A10" s="2408"/>
      <c r="B10" s="2409"/>
      <c r="C10" s="2409"/>
      <c r="D10" s="2409"/>
      <c r="E10" s="2409"/>
      <c r="F10" s="2409"/>
      <c r="G10" s="2409"/>
      <c r="H10" s="2409"/>
      <c r="I10" s="2409"/>
      <c r="J10" s="2409"/>
      <c r="K10" s="2409"/>
      <c r="L10" s="2409"/>
      <c r="M10" s="2409"/>
      <c r="N10" s="2410"/>
      <c r="O10" s="926"/>
      <c r="P10" s="926"/>
    </row>
    <row r="11" spans="1:21" ht="4.5" customHeight="1">
      <c r="A11" s="2322"/>
      <c r="B11" s="927"/>
      <c r="C11" s="927"/>
      <c r="D11" s="927"/>
      <c r="E11" s="927"/>
      <c r="F11" s="927"/>
      <c r="G11" s="927"/>
      <c r="H11" s="927"/>
      <c r="I11" s="927"/>
      <c r="J11" s="927"/>
      <c r="K11" s="927"/>
      <c r="L11" s="927"/>
      <c r="M11" s="927"/>
      <c r="N11" s="2323"/>
    </row>
    <row r="12" spans="1:21" ht="13.5" customHeight="1">
      <c r="A12" s="2411" t="s">
        <v>644</v>
      </c>
      <c r="B12" s="2412"/>
      <c r="C12" s="2412"/>
      <c r="D12" s="2413"/>
      <c r="E12" s="2414" t="s">
        <v>632</v>
      </c>
      <c r="F12" s="2415"/>
      <c r="G12" s="2416"/>
      <c r="H12" s="1127"/>
      <c r="I12" s="2414" t="s">
        <v>633</v>
      </c>
      <c r="J12" s="2416"/>
      <c r="K12" s="2414" t="s">
        <v>634</v>
      </c>
      <c r="L12" s="2415"/>
      <c r="M12" s="2415"/>
      <c r="N12" s="2416"/>
    </row>
    <row r="13" spans="1:21" ht="19.5" customHeight="1">
      <c r="A13" s="2359" t="s">
        <v>645</v>
      </c>
      <c r="B13" s="2360"/>
      <c r="C13" s="2360"/>
      <c r="D13" s="2361"/>
      <c r="E13" s="2362"/>
      <c r="F13" s="2363"/>
      <c r="G13" s="2364"/>
      <c r="H13" s="1128"/>
      <c r="I13" s="2365" t="s">
        <v>635</v>
      </c>
      <c r="J13" s="2364"/>
      <c r="K13" s="2365" t="s">
        <v>643</v>
      </c>
      <c r="L13" s="2366"/>
      <c r="M13" s="2366"/>
      <c r="N13" s="2364"/>
    </row>
    <row r="14" spans="1:21" ht="4.5" customHeight="1">
      <c r="A14" s="2324"/>
      <c r="B14" s="928"/>
      <c r="C14" s="928"/>
      <c r="D14" s="929"/>
      <c r="E14" s="929"/>
      <c r="F14" s="929"/>
      <c r="G14" s="930"/>
      <c r="H14" s="930"/>
      <c r="I14" s="931"/>
      <c r="J14" s="930"/>
      <c r="K14" s="931"/>
      <c r="L14" s="931"/>
      <c r="M14" s="931"/>
      <c r="N14" s="2325"/>
      <c r="U14" s="921" t="s">
        <v>636</v>
      </c>
    </row>
    <row r="15" spans="1:21" ht="13.5" customHeight="1">
      <c r="A15" s="2367" t="s">
        <v>637</v>
      </c>
      <c r="B15" s="2368"/>
      <c r="C15" s="2369" t="s">
        <v>125</v>
      </c>
      <c r="D15" s="2370"/>
      <c r="E15" s="2371" t="s">
        <v>115</v>
      </c>
      <c r="F15" s="2372"/>
      <c r="G15" s="2373"/>
      <c r="H15" s="932" t="s">
        <v>638</v>
      </c>
      <c r="I15" s="933"/>
      <c r="J15" s="933"/>
      <c r="K15" s="2374" t="str">
        <f>'[42]11 - FINANCEIRA'!F8</f>
        <v>050/2022</v>
      </c>
      <c r="L15" s="2375"/>
      <c r="M15" s="2376" t="s">
        <v>639</v>
      </c>
      <c r="N15" s="2377"/>
    </row>
    <row r="16" spans="1:21" ht="16.5" customHeight="1" thickBot="1">
      <c r="A16" s="2378" t="s">
        <v>1204</v>
      </c>
      <c r="B16" s="2379"/>
      <c r="C16" s="2380">
        <v>28</v>
      </c>
      <c r="D16" s="2381"/>
      <c r="E16" s="2382" t="s">
        <v>640</v>
      </c>
      <c r="F16" s="2383"/>
      <c r="G16" s="2384"/>
      <c r="H16" s="934"/>
      <c r="I16" s="935" t="s">
        <v>641</v>
      </c>
      <c r="J16" s="935"/>
      <c r="K16" s="2385"/>
      <c r="L16" s="2386"/>
      <c r="M16" s="2387"/>
      <c r="N16" s="2386"/>
    </row>
    <row r="17" spans="1:18" s="1339" customFormat="1" ht="56.25" customHeight="1" thickTop="1" thickBot="1">
      <c r="A17" s="2326" t="s">
        <v>130</v>
      </c>
      <c r="B17" s="2340" t="s">
        <v>642</v>
      </c>
      <c r="C17" s="2340"/>
      <c r="D17" s="2341" t="str">
        <f>'[42]11 - FINANCEIRA'!C26</f>
        <v>Aluguel Mensal Container Para Refeitorio, Incl. Porta, 2 Janelas, Abert P/ Ar Cond., 2 Pt Iluminação, 2 Tomadas Elét. E 1 Tomada Telef. Isolamento Térmico (Paredes E Teto), Piso Em Comp. Naval Pintado, Cert. Nr18, Incl. Laudo Descontaminação.</v>
      </c>
      <c r="E17" s="2341"/>
      <c r="F17" s="2341"/>
      <c r="G17" s="2341"/>
      <c r="H17" s="2341"/>
      <c r="I17" s="2341"/>
      <c r="J17" s="2341"/>
      <c r="K17" s="2341"/>
      <c r="L17" s="2341"/>
      <c r="M17" s="2341"/>
      <c r="N17" s="2342"/>
    </row>
    <row r="18" spans="1:18" ht="15" customHeight="1">
      <c r="A18" s="2343" t="str">
        <f>'[42]11 - FINANCEIRA'!A26</f>
        <v>1.2.2</v>
      </c>
      <c r="B18" s="936"/>
      <c r="C18" s="937"/>
      <c r="D18" s="1131"/>
      <c r="E18" s="1131"/>
      <c r="F18" s="1131"/>
      <c r="G18" s="938"/>
      <c r="I18" s="1129"/>
      <c r="J18" s="1131"/>
      <c r="K18" s="1131"/>
      <c r="L18" s="1131"/>
      <c r="M18" s="1131"/>
      <c r="N18" s="2327"/>
    </row>
    <row r="19" spans="1:18" ht="15" customHeight="1">
      <c r="A19" s="2344"/>
      <c r="B19" s="940"/>
      <c r="C19" s="941"/>
      <c r="E19"/>
      <c r="F19"/>
      <c r="G19" s="1112"/>
      <c r="H19"/>
      <c r="I19" s="1130"/>
      <c r="J19"/>
      <c r="K19"/>
      <c r="L19"/>
      <c r="M19"/>
      <c r="N19" s="2328"/>
    </row>
    <row r="20" spans="1:18" ht="15" customHeight="1">
      <c r="A20" s="2344"/>
      <c r="B20" s="940"/>
      <c r="C20" s="941"/>
      <c r="D20"/>
      <c r="E20"/>
      <c r="F20"/>
      <c r="G20" s="1112"/>
      <c r="H20"/>
      <c r="I20" s="1130"/>
      <c r="J20"/>
      <c r="K20"/>
      <c r="L20"/>
      <c r="M20"/>
      <c r="N20" s="2328"/>
    </row>
    <row r="21" spans="1:18" ht="15" customHeight="1">
      <c r="A21" s="2344"/>
      <c r="B21" s="940"/>
      <c r="C21" s="941"/>
      <c r="D21"/>
      <c r="E21"/>
      <c r="F21"/>
      <c r="G21" s="1112"/>
      <c r="H21"/>
      <c r="I21" s="1130"/>
      <c r="J21"/>
      <c r="K21"/>
      <c r="L21"/>
      <c r="M21"/>
      <c r="N21" s="2328"/>
    </row>
    <row r="22" spans="1:18" ht="15" customHeight="1">
      <c r="A22" s="2344"/>
      <c r="B22" s="940"/>
      <c r="C22" s="941"/>
      <c r="D22"/>
      <c r="E22"/>
      <c r="F22"/>
      <c r="G22" s="1112"/>
      <c r="H22"/>
      <c r="I22" s="1130"/>
      <c r="J22"/>
      <c r="K22"/>
      <c r="L22"/>
      <c r="M22"/>
      <c r="N22" s="2328"/>
    </row>
    <row r="23" spans="1:18" ht="15" customHeight="1">
      <c r="A23" s="2344"/>
      <c r="B23" s="944"/>
      <c r="C23" s="945"/>
      <c r="D23"/>
      <c r="E23"/>
      <c r="F23"/>
      <c r="G23" s="1112"/>
      <c r="H23"/>
      <c r="I23" s="1130"/>
      <c r="J23"/>
      <c r="K23"/>
      <c r="L23"/>
      <c r="M23"/>
      <c r="N23" s="2328"/>
    </row>
    <row r="24" spans="1:18" ht="15" customHeight="1">
      <c r="A24" s="2344"/>
      <c r="B24" s="944"/>
      <c r="C24" s="945"/>
      <c r="D24"/>
      <c r="E24"/>
      <c r="F24"/>
      <c r="G24" s="1112"/>
      <c r="H24"/>
      <c r="I24" s="1130"/>
      <c r="J24"/>
      <c r="K24"/>
      <c r="L24"/>
      <c r="M24"/>
      <c r="N24" s="2328"/>
    </row>
    <row r="25" spans="1:18" ht="15" customHeight="1">
      <c r="A25" s="2344"/>
      <c r="B25" s="944"/>
      <c r="C25" s="945"/>
      <c r="D25"/>
      <c r="E25"/>
      <c r="F25"/>
      <c r="G25" s="1112"/>
      <c r="H25"/>
      <c r="I25" s="1130"/>
      <c r="J25"/>
      <c r="K25"/>
      <c r="L25"/>
      <c r="M25"/>
      <c r="N25" s="2315"/>
    </row>
    <row r="26" spans="1:18" ht="15" customHeight="1" thickBot="1">
      <c r="A26" s="2417"/>
      <c r="B26" s="2352" t="s">
        <v>910</v>
      </c>
      <c r="C26" s="2353"/>
      <c r="D26" s="2353"/>
      <c r="E26" s="2353"/>
      <c r="F26" s="2353"/>
      <c r="G26" s="2354"/>
      <c r="H26" s="947"/>
      <c r="I26" s="2352" t="s">
        <v>910</v>
      </c>
      <c r="J26" s="2353"/>
      <c r="K26" s="2353"/>
      <c r="L26" s="2353"/>
      <c r="M26" s="2353"/>
      <c r="N26" s="2355"/>
    </row>
    <row r="27" spans="1:18" s="1339" customFormat="1" ht="54" customHeight="1" thickTop="1" thickBot="1">
      <c r="A27" s="2329" t="s">
        <v>130</v>
      </c>
      <c r="B27" s="2340" t="s">
        <v>642</v>
      </c>
      <c r="C27" s="2340"/>
      <c r="D27" s="2341" t="str">
        <f>'[42]11 - FINANCEIRA'!C27</f>
        <v>Aluguel Mensal Container Sanitário, Incl Porta, Básc, 2 Ptos Luz, 1 Pto Aterram., 3Vasos, 3Lavatórios, Calha Mictório, 6 Chuveiros (1 Eletrico), Torn.,Registros, Piso Comp. Naval Pintado, Cert Nr18 E Laudo Descontaminação</v>
      </c>
      <c r="E27" s="2341"/>
      <c r="F27" s="2341"/>
      <c r="G27" s="2341"/>
      <c r="H27" s="2341"/>
      <c r="I27" s="2341"/>
      <c r="J27" s="2341"/>
      <c r="K27" s="2341"/>
      <c r="L27" s="2341"/>
      <c r="M27" s="2341"/>
      <c r="N27" s="2342"/>
      <c r="O27" s="1340"/>
      <c r="P27" s="1340"/>
      <c r="R27" s="1340"/>
    </row>
    <row r="28" spans="1:18" ht="14.1" customHeight="1">
      <c r="A28" s="2343" t="str">
        <f>'[42]11 - FINANCEIRA'!A27</f>
        <v>1.2.3</v>
      </c>
      <c r="B28" s="936"/>
      <c r="C28" s="937"/>
      <c r="D28" s="1131"/>
      <c r="E28" s="1131"/>
      <c r="F28" s="1131"/>
      <c r="G28" s="938"/>
      <c r="I28" s="1129"/>
      <c r="J28" s="1131"/>
      <c r="K28" s="1131"/>
      <c r="L28" s="1131"/>
      <c r="M28" s="1131"/>
      <c r="N28" s="2327"/>
      <c r="O28" s="943"/>
      <c r="P28" s="943"/>
      <c r="R28" s="943"/>
    </row>
    <row r="29" spans="1:18" ht="14.1" customHeight="1">
      <c r="A29" s="2344"/>
      <c r="B29" s="940"/>
      <c r="C29" s="941"/>
      <c r="E29"/>
      <c r="F29"/>
      <c r="G29" s="1112"/>
      <c r="H29"/>
      <c r="I29" s="1130"/>
      <c r="J29"/>
      <c r="K29"/>
      <c r="L29"/>
      <c r="M29"/>
      <c r="N29" s="2328"/>
      <c r="O29" s="943"/>
      <c r="P29" s="943"/>
      <c r="R29" s="943"/>
    </row>
    <row r="30" spans="1:18" ht="14.1" customHeight="1">
      <c r="A30" s="2344"/>
      <c r="B30" s="940"/>
      <c r="C30" s="941"/>
      <c r="D30"/>
      <c r="E30"/>
      <c r="F30"/>
      <c r="G30" s="1112"/>
      <c r="H30"/>
      <c r="I30" s="1130"/>
      <c r="J30"/>
      <c r="K30"/>
      <c r="L30"/>
      <c r="M30"/>
      <c r="N30" s="2328"/>
      <c r="O30" s="943"/>
      <c r="P30" s="943"/>
      <c r="R30" s="943"/>
    </row>
    <row r="31" spans="1:18" ht="14.1" customHeight="1">
      <c r="A31" s="2344"/>
      <c r="B31" s="940"/>
      <c r="C31" s="941"/>
      <c r="D31"/>
      <c r="E31"/>
      <c r="F31"/>
      <c r="G31" s="1112"/>
      <c r="H31"/>
      <c r="I31" s="1130"/>
      <c r="J31"/>
      <c r="K31"/>
      <c r="L31"/>
      <c r="M31"/>
      <c r="N31" s="2328"/>
      <c r="O31" s="943"/>
      <c r="P31" s="943"/>
      <c r="R31" s="943"/>
    </row>
    <row r="32" spans="1:18" ht="14.1" customHeight="1">
      <c r="A32" s="2344"/>
      <c r="B32" s="940"/>
      <c r="C32" s="941"/>
      <c r="D32"/>
      <c r="E32"/>
      <c r="F32"/>
      <c r="G32" s="1112"/>
      <c r="H32"/>
      <c r="I32" s="1130"/>
      <c r="J32"/>
      <c r="K32"/>
      <c r="L32"/>
      <c r="M32"/>
      <c r="N32" s="2328"/>
      <c r="O32" s="943"/>
      <c r="P32" s="943"/>
      <c r="R32" s="943"/>
    </row>
    <row r="33" spans="1:18" ht="14.1" customHeight="1">
      <c r="A33" s="2344"/>
      <c r="B33" s="944"/>
      <c r="C33" s="945"/>
      <c r="D33"/>
      <c r="E33"/>
      <c r="F33"/>
      <c r="G33" s="1112"/>
      <c r="H33"/>
      <c r="I33" s="1130"/>
      <c r="J33"/>
      <c r="K33"/>
      <c r="L33"/>
      <c r="M33"/>
      <c r="N33" s="2328"/>
    </row>
    <row r="34" spans="1:18" ht="14.1" customHeight="1">
      <c r="A34" s="2344"/>
      <c r="B34" s="944"/>
      <c r="C34" s="945"/>
      <c r="D34"/>
      <c r="E34"/>
      <c r="F34"/>
      <c r="G34" s="1112"/>
      <c r="H34"/>
      <c r="I34" s="1130"/>
      <c r="J34"/>
      <c r="K34"/>
      <c r="L34"/>
      <c r="M34"/>
      <c r="N34" s="2328"/>
    </row>
    <row r="35" spans="1:18" ht="14.1" customHeight="1">
      <c r="A35" s="2344"/>
      <c r="B35" s="944"/>
      <c r="C35" s="945"/>
      <c r="D35"/>
      <c r="E35"/>
      <c r="F35"/>
      <c r="G35" s="1112"/>
      <c r="H35"/>
      <c r="I35" s="1130"/>
      <c r="J35"/>
      <c r="K35"/>
      <c r="L35"/>
      <c r="M35"/>
      <c r="N35" s="2315"/>
    </row>
    <row r="36" spans="1:18" ht="14.1" customHeight="1" thickBot="1">
      <c r="A36" s="2345"/>
      <c r="B36" s="2352" t="s">
        <v>911</v>
      </c>
      <c r="C36" s="2353"/>
      <c r="D36" s="2353"/>
      <c r="E36" s="2353"/>
      <c r="F36" s="2353"/>
      <c r="G36" s="2354"/>
      <c r="H36" s="947"/>
      <c r="I36" s="2352" t="s">
        <v>911</v>
      </c>
      <c r="J36" s="2353"/>
      <c r="K36" s="2353"/>
      <c r="L36" s="2353"/>
      <c r="M36" s="2353"/>
      <c r="N36" s="2355"/>
      <c r="Q36" s="943"/>
    </row>
    <row r="37" spans="1:18" s="1339" customFormat="1" ht="66.75" customHeight="1" thickTop="1" thickBot="1">
      <c r="A37" s="2329" t="s">
        <v>130</v>
      </c>
      <c r="B37" s="2340" t="s">
        <v>642</v>
      </c>
      <c r="C37" s="2340"/>
      <c r="D37" s="2341" t="str">
        <f>'[42]11 - FINANCEIRA'!C28</f>
        <v>Aluguel Mensal Container Para Escritório, Dim. 6.00X2.40M, C/ Banheiro (Vaso+Lavat+Chuveiro E Básc), Incl. Porta, 2 Janelas, Abert P/ Ar Cond., 2 Pt Iluminação, 2 Tom. Elét. E 1 Tom.Telef. Isolam.Térmico(Teto E Paredes), Piso Em Comp. Naval, Cert. Nr18, Incl. Laudo Descontaminação.</v>
      </c>
      <c r="E37" s="2341"/>
      <c r="F37" s="2341"/>
      <c r="G37" s="2341"/>
      <c r="H37" s="2341"/>
      <c r="I37" s="2341"/>
      <c r="J37" s="2341"/>
      <c r="K37" s="2341"/>
      <c r="L37" s="2341"/>
      <c r="M37" s="2341"/>
      <c r="N37" s="2342"/>
    </row>
    <row r="38" spans="1:18" ht="14.1" customHeight="1">
      <c r="A38" s="2343" t="str">
        <f>'[42]11 - FINANCEIRA'!A28</f>
        <v>1.2.4</v>
      </c>
      <c r="B38" s="936"/>
      <c r="C38" s="937"/>
      <c r="D38" s="1131"/>
      <c r="E38" s="1131"/>
      <c r="F38" s="1131"/>
      <c r="G38" s="938"/>
      <c r="I38" s="1129"/>
      <c r="J38" s="1131"/>
      <c r="K38" s="1131"/>
      <c r="L38" s="1131"/>
      <c r="M38" s="1131"/>
      <c r="N38" s="2327"/>
    </row>
    <row r="39" spans="1:18" ht="14.1" customHeight="1">
      <c r="A39" s="2344"/>
      <c r="B39" s="940"/>
      <c r="C39" s="941"/>
      <c r="E39"/>
      <c r="F39"/>
      <c r="G39" s="1112"/>
      <c r="H39"/>
      <c r="I39" s="1130"/>
      <c r="J39"/>
      <c r="K39"/>
      <c r="L39"/>
      <c r="M39"/>
      <c r="N39" s="2328"/>
    </row>
    <row r="40" spans="1:18" ht="14.1" customHeight="1">
      <c r="A40" s="2344"/>
      <c r="B40" s="940"/>
      <c r="C40" s="941"/>
      <c r="D40"/>
      <c r="E40"/>
      <c r="F40"/>
      <c r="G40" s="1112"/>
      <c r="H40"/>
      <c r="I40" s="1130"/>
      <c r="J40"/>
      <c r="K40"/>
      <c r="L40"/>
      <c r="M40"/>
      <c r="N40" s="2328"/>
    </row>
    <row r="41" spans="1:18" ht="14.1" customHeight="1">
      <c r="A41" s="2344"/>
      <c r="B41" s="940"/>
      <c r="C41" s="941"/>
      <c r="D41"/>
      <c r="E41"/>
      <c r="F41"/>
      <c r="G41" s="1112"/>
      <c r="H41"/>
      <c r="I41" s="1130"/>
      <c r="J41"/>
      <c r="K41"/>
      <c r="L41"/>
      <c r="M41"/>
      <c r="N41" s="2328"/>
    </row>
    <row r="42" spans="1:18" ht="14.1" customHeight="1">
      <c r="A42" s="2344"/>
      <c r="B42" s="940"/>
      <c r="C42" s="941"/>
      <c r="D42"/>
      <c r="E42"/>
      <c r="F42"/>
      <c r="G42" s="1112"/>
      <c r="H42"/>
      <c r="I42" s="1130"/>
      <c r="J42"/>
      <c r="K42"/>
      <c r="L42"/>
      <c r="M42"/>
      <c r="N42" s="2328"/>
      <c r="O42" s="943"/>
      <c r="P42" s="943"/>
      <c r="R42" s="943"/>
    </row>
    <row r="43" spans="1:18" ht="14.1" customHeight="1">
      <c r="A43" s="2344"/>
      <c r="B43" s="944"/>
      <c r="C43" s="945"/>
      <c r="D43"/>
      <c r="E43"/>
      <c r="F43"/>
      <c r="G43" s="1112"/>
      <c r="H43"/>
      <c r="I43" s="1130"/>
      <c r="J43"/>
      <c r="K43"/>
      <c r="L43"/>
      <c r="M43"/>
      <c r="N43" s="2328"/>
      <c r="O43" s="943"/>
      <c r="P43" s="943"/>
      <c r="R43" s="943"/>
    </row>
    <row r="44" spans="1:18" ht="14.1" customHeight="1">
      <c r="A44" s="2344"/>
      <c r="B44" s="944"/>
      <c r="C44" s="945"/>
      <c r="D44"/>
      <c r="E44"/>
      <c r="F44"/>
      <c r="G44" s="1112"/>
      <c r="H44"/>
      <c r="I44" s="1130"/>
      <c r="J44"/>
      <c r="K44"/>
      <c r="L44"/>
      <c r="M44"/>
      <c r="N44" s="2328"/>
      <c r="O44" s="943"/>
      <c r="P44" s="943"/>
      <c r="R44" s="943"/>
    </row>
    <row r="45" spans="1:18" ht="14.1" customHeight="1">
      <c r="A45" s="2344"/>
      <c r="B45" s="944"/>
      <c r="C45" s="945"/>
      <c r="D45"/>
      <c r="E45"/>
      <c r="F45"/>
      <c r="G45" s="1112"/>
      <c r="H45"/>
      <c r="I45" s="1130"/>
      <c r="J45"/>
      <c r="K45"/>
      <c r="L45"/>
      <c r="M45"/>
      <c r="N45" s="2315"/>
      <c r="O45" s="943"/>
      <c r="P45" s="943"/>
      <c r="Q45" s="943"/>
      <c r="R45" s="943"/>
    </row>
    <row r="46" spans="1:18" ht="14.1" customHeight="1" thickBot="1">
      <c r="A46" s="2345"/>
      <c r="B46" s="2352" t="s">
        <v>912</v>
      </c>
      <c r="C46" s="2353"/>
      <c r="D46" s="2353"/>
      <c r="E46" s="2353"/>
      <c r="F46" s="2353"/>
      <c r="G46" s="2354"/>
      <c r="H46" s="947"/>
      <c r="I46" s="2352" t="s">
        <v>912</v>
      </c>
      <c r="J46" s="2353"/>
      <c r="K46" s="2353"/>
      <c r="L46" s="2353"/>
      <c r="M46" s="2353"/>
      <c r="N46" s="2355"/>
      <c r="O46" s="943"/>
      <c r="P46" s="943"/>
      <c r="R46" s="943"/>
    </row>
    <row r="47" spans="1:18" s="1339" customFormat="1" ht="38.25" customHeight="1" thickTop="1" thickBot="1">
      <c r="A47" s="2329" t="s">
        <v>130</v>
      </c>
      <c r="B47" s="2340" t="s">
        <v>642</v>
      </c>
      <c r="C47" s="2340"/>
      <c r="D47" s="2341" t="str">
        <f>'[42]11 - FINANCEIRA'!C29</f>
        <v>Aluguel mensal container para almoxarifado, incl. porta, 2 janelas, 1 pt iluminação, Isolamento térmico (teto), piso em comp. Naval pintado, cert. NR18, incl. laudo descontaminação.</v>
      </c>
      <c r="E47" s="2341"/>
      <c r="F47" s="2341"/>
      <c r="G47" s="2341"/>
      <c r="H47" s="2341"/>
      <c r="I47" s="2341"/>
      <c r="J47" s="2341"/>
      <c r="K47" s="2341"/>
      <c r="L47" s="2341"/>
      <c r="M47" s="2341"/>
      <c r="N47" s="2342"/>
      <c r="O47" s="1341"/>
    </row>
    <row r="48" spans="1:18" ht="14.1" customHeight="1">
      <c r="A48" s="2343" t="str">
        <f>'[42]11 - FINANCEIRA'!A29</f>
        <v>1.2.5</v>
      </c>
      <c r="B48" s="936"/>
      <c r="C48" s="937"/>
      <c r="D48" s="1131"/>
      <c r="E48" s="1131"/>
      <c r="F48" s="1131"/>
      <c r="G48" s="938"/>
      <c r="I48" s="1129"/>
      <c r="J48" s="1131"/>
      <c r="K48" s="1131"/>
      <c r="L48" s="1131"/>
      <c r="M48" s="1131"/>
      <c r="N48" s="2327"/>
    </row>
    <row r="49" spans="1:17" ht="14.1" customHeight="1">
      <c r="A49" s="2344"/>
      <c r="B49" s="940"/>
      <c r="C49" s="941"/>
      <c r="E49"/>
      <c r="F49"/>
      <c r="G49" s="1112"/>
      <c r="H49"/>
      <c r="I49" s="1130"/>
      <c r="J49"/>
      <c r="K49"/>
      <c r="L49"/>
      <c r="M49"/>
      <c r="N49" s="2328"/>
    </row>
    <row r="50" spans="1:17" ht="14.1" customHeight="1">
      <c r="A50" s="2344"/>
      <c r="B50" s="940"/>
      <c r="C50" s="941"/>
      <c r="D50"/>
      <c r="E50"/>
      <c r="F50"/>
      <c r="G50" s="1112"/>
      <c r="H50"/>
      <c r="I50" s="1130"/>
      <c r="J50"/>
      <c r="K50"/>
      <c r="L50"/>
      <c r="M50"/>
      <c r="N50" s="2328"/>
    </row>
    <row r="51" spans="1:17" ht="14.1" customHeight="1">
      <c r="A51" s="2344"/>
      <c r="B51" s="940"/>
      <c r="C51" s="941"/>
      <c r="D51"/>
      <c r="E51"/>
      <c r="F51"/>
      <c r="G51" s="1112"/>
      <c r="H51"/>
      <c r="I51" s="1130"/>
      <c r="J51"/>
      <c r="K51"/>
      <c r="L51"/>
      <c r="M51"/>
      <c r="N51" s="2328"/>
    </row>
    <row r="52" spans="1:17" ht="14.1" customHeight="1">
      <c r="A52" s="2344"/>
      <c r="B52" s="940"/>
      <c r="C52" s="941"/>
      <c r="D52"/>
      <c r="E52"/>
      <c r="F52"/>
      <c r="G52" s="1112"/>
      <c r="H52"/>
      <c r="I52" s="1130"/>
      <c r="J52"/>
      <c r="K52"/>
      <c r="L52"/>
      <c r="M52"/>
      <c r="N52" s="2328"/>
    </row>
    <row r="53" spans="1:17" ht="14.1" customHeight="1">
      <c r="A53" s="2344"/>
      <c r="B53" s="944"/>
      <c r="C53" s="945"/>
      <c r="D53"/>
      <c r="E53"/>
      <c r="F53"/>
      <c r="G53" s="1112"/>
      <c r="H53"/>
      <c r="I53" s="1130"/>
      <c r="J53"/>
      <c r="K53"/>
      <c r="L53"/>
      <c r="M53"/>
      <c r="N53" s="2328"/>
    </row>
    <row r="54" spans="1:17" ht="14.1" customHeight="1">
      <c r="A54" s="2344"/>
      <c r="B54" s="944"/>
      <c r="C54" s="945"/>
      <c r="D54"/>
      <c r="E54"/>
      <c r="F54"/>
      <c r="G54" s="1112"/>
      <c r="H54"/>
      <c r="I54" s="1130"/>
      <c r="J54"/>
      <c r="K54"/>
      <c r="L54"/>
      <c r="M54"/>
      <c r="N54" s="2328"/>
      <c r="Q54" s="943"/>
    </row>
    <row r="55" spans="1:17" ht="14.1" customHeight="1">
      <c r="A55" s="2344"/>
      <c r="B55" s="944"/>
      <c r="C55" s="945"/>
      <c r="D55"/>
      <c r="E55"/>
      <c r="F55"/>
      <c r="G55" s="1112"/>
      <c r="H55"/>
      <c r="I55" s="1130"/>
      <c r="J55"/>
      <c r="K55"/>
      <c r="L55"/>
      <c r="M55"/>
      <c r="N55" s="2315"/>
    </row>
    <row r="56" spans="1:17" ht="14.1" customHeight="1" thickBot="1">
      <c r="A56" s="2345"/>
      <c r="B56" s="2418" t="s">
        <v>913</v>
      </c>
      <c r="C56" s="2419"/>
      <c r="D56" s="2419"/>
      <c r="E56" s="2419"/>
      <c r="F56" s="2419"/>
      <c r="G56" s="2421"/>
      <c r="H56" s="947"/>
      <c r="I56" s="2418" t="s">
        <v>913</v>
      </c>
      <c r="J56" s="2419"/>
      <c r="K56" s="2419"/>
      <c r="L56" s="2419"/>
      <c r="M56" s="2419"/>
      <c r="N56" s="2420"/>
    </row>
    <row r="57" spans="1:17" s="1339" customFormat="1" ht="39" customHeight="1" thickTop="1" thickBot="1">
      <c r="A57" s="2329" t="s">
        <v>130</v>
      </c>
      <c r="B57" s="2340" t="s">
        <v>642</v>
      </c>
      <c r="C57" s="2340"/>
      <c r="D57" s="2341" t="str">
        <f>'[42]11 - FINANCEIRA'!C30</f>
        <v>Aluguel Mensal Container Para Vestiário, Incl. Porta, Venezianas De Circulação, 1 Pt Iluminação, Isolamento Térmico (Teto), Piso Em Comp. Naval Pintado, Cert. Nr18, Incl. Laudo Descontaminação.</v>
      </c>
      <c r="E57" s="2341"/>
      <c r="F57" s="2341"/>
      <c r="G57" s="2341"/>
      <c r="H57" s="2341"/>
      <c r="I57" s="2341"/>
      <c r="J57" s="2341"/>
      <c r="K57" s="2341"/>
      <c r="L57" s="2341"/>
      <c r="M57" s="2341"/>
      <c r="N57" s="2342"/>
    </row>
    <row r="58" spans="1:17" ht="14.1" customHeight="1">
      <c r="A58" s="2343" t="str">
        <f>'[42]11 - FINANCEIRA'!A30</f>
        <v>1.2.6</v>
      </c>
      <c r="B58" s="936"/>
      <c r="C58" s="937"/>
      <c r="D58" s="1131"/>
      <c r="E58" s="1131"/>
      <c r="F58" s="1131"/>
      <c r="G58" s="938"/>
      <c r="I58" s="1129"/>
      <c r="J58" s="1131"/>
      <c r="K58" s="1131"/>
      <c r="L58" s="1131"/>
      <c r="M58" s="1131"/>
      <c r="N58" s="2327"/>
    </row>
    <row r="59" spans="1:17" ht="14.1" customHeight="1">
      <c r="A59" s="2344"/>
      <c r="B59" s="940"/>
      <c r="C59" s="941"/>
      <c r="E59"/>
      <c r="F59"/>
      <c r="G59" s="1112"/>
      <c r="H59"/>
      <c r="I59" s="1130"/>
      <c r="J59"/>
      <c r="K59"/>
      <c r="L59"/>
      <c r="M59"/>
      <c r="N59" s="2328"/>
    </row>
    <row r="60" spans="1:17" ht="15">
      <c r="A60" s="2344"/>
      <c r="B60" s="940"/>
      <c r="C60" s="941"/>
      <c r="D60"/>
      <c r="E60"/>
      <c r="F60"/>
      <c r="G60" s="1112"/>
      <c r="H60"/>
      <c r="I60" s="1130"/>
      <c r="J60"/>
      <c r="K60"/>
      <c r="L60"/>
      <c r="M60"/>
      <c r="N60" s="2328"/>
    </row>
    <row r="61" spans="1:17" ht="15">
      <c r="A61" s="2344"/>
      <c r="B61" s="940"/>
      <c r="C61" s="941"/>
      <c r="D61"/>
      <c r="E61"/>
      <c r="F61"/>
      <c r="G61" s="1112"/>
      <c r="H61"/>
      <c r="I61" s="1130"/>
      <c r="J61"/>
      <c r="K61"/>
      <c r="L61"/>
      <c r="M61"/>
      <c r="N61" s="2328"/>
    </row>
    <row r="62" spans="1:17" ht="15">
      <c r="A62" s="2344"/>
      <c r="B62" s="940"/>
      <c r="C62" s="941"/>
      <c r="D62"/>
      <c r="E62"/>
      <c r="F62"/>
      <c r="G62" s="1112"/>
      <c r="H62"/>
      <c r="I62" s="1130"/>
      <c r="J62"/>
      <c r="K62"/>
      <c r="L62"/>
      <c r="M62"/>
      <c r="N62" s="2328"/>
    </row>
    <row r="63" spans="1:17" ht="15">
      <c r="A63" s="2344"/>
      <c r="B63" s="944"/>
      <c r="C63" s="945"/>
      <c r="D63"/>
      <c r="E63"/>
      <c r="F63"/>
      <c r="G63" s="1112"/>
      <c r="H63"/>
      <c r="I63" s="1130"/>
      <c r="J63"/>
      <c r="K63"/>
      <c r="L63"/>
      <c r="M63"/>
      <c r="N63" s="2328"/>
    </row>
    <row r="64" spans="1:17" ht="15">
      <c r="A64" s="2344"/>
      <c r="B64" s="944"/>
      <c r="C64" s="945"/>
      <c r="D64"/>
      <c r="E64"/>
      <c r="F64"/>
      <c r="G64" s="1112"/>
      <c r="H64"/>
      <c r="I64" s="1130"/>
      <c r="J64"/>
      <c r="K64"/>
      <c r="L64"/>
      <c r="M64"/>
      <c r="N64" s="2328"/>
    </row>
    <row r="65" spans="1:14" ht="15">
      <c r="A65" s="2344"/>
      <c r="B65" s="944"/>
      <c r="C65" s="945"/>
      <c r="D65"/>
      <c r="E65"/>
      <c r="F65"/>
      <c r="G65" s="1112"/>
      <c r="H65"/>
      <c r="I65" s="1130"/>
      <c r="J65"/>
      <c r="K65"/>
      <c r="L65"/>
      <c r="M65"/>
      <c r="N65" s="2315"/>
    </row>
    <row r="66" spans="1:14" ht="15.75" thickBot="1">
      <c r="A66" s="2345"/>
      <c r="B66" s="2352" t="s">
        <v>914</v>
      </c>
      <c r="C66" s="2353"/>
      <c r="D66" s="2353"/>
      <c r="E66" s="2353"/>
      <c r="F66" s="2353"/>
      <c r="G66" s="2354"/>
      <c r="H66" s="947"/>
      <c r="I66" s="2352" t="s">
        <v>914</v>
      </c>
      <c r="J66" s="2353"/>
      <c r="K66" s="2353"/>
      <c r="L66" s="2353"/>
      <c r="M66" s="2353"/>
      <c r="N66" s="2355"/>
    </row>
    <row r="67" spans="1:14" ht="13.5" customHeight="1" thickTop="1" thickBot="1">
      <c r="A67" s="2329" t="s">
        <v>130</v>
      </c>
      <c r="B67" s="2340" t="s">
        <v>642</v>
      </c>
      <c r="C67" s="2340"/>
      <c r="D67" s="2341" t="s">
        <v>181</v>
      </c>
      <c r="E67" s="2341"/>
      <c r="F67" s="2341"/>
      <c r="G67" s="2341"/>
      <c r="H67" s="2341"/>
      <c r="I67" s="2341"/>
      <c r="J67" s="2341"/>
      <c r="K67" s="2341"/>
      <c r="L67" s="2341"/>
      <c r="M67" s="2341"/>
      <c r="N67" s="2342"/>
    </row>
    <row r="68" spans="1:14">
      <c r="A68" s="2344" t="s">
        <v>27</v>
      </c>
      <c r="B68" s="936"/>
      <c r="C68" s="937"/>
      <c r="D68" s="1131"/>
      <c r="E68" s="1131"/>
      <c r="F68" s="1131"/>
      <c r="G68" s="938"/>
      <c r="I68" s="1129"/>
      <c r="J68" s="1131"/>
      <c r="K68" s="1131"/>
      <c r="L68" s="1131"/>
      <c r="M68" s="1131"/>
      <c r="N68" s="2327"/>
    </row>
    <row r="69" spans="1:14" ht="15">
      <c r="A69" s="2344"/>
      <c r="B69" s="940"/>
      <c r="C69" s="941"/>
      <c r="E69"/>
      <c r="F69"/>
      <c r="G69" s="1112"/>
      <c r="H69"/>
      <c r="I69" s="1130"/>
      <c r="J69"/>
      <c r="K69"/>
      <c r="L69"/>
      <c r="M69"/>
      <c r="N69" s="2328"/>
    </row>
    <row r="70" spans="1:14" ht="15">
      <c r="A70" s="2344"/>
      <c r="B70" s="940"/>
      <c r="C70" s="941"/>
      <c r="D70"/>
      <c r="E70"/>
      <c r="F70"/>
      <c r="G70" s="1112"/>
      <c r="H70"/>
      <c r="I70" s="1130"/>
      <c r="J70"/>
      <c r="K70"/>
      <c r="L70"/>
      <c r="M70"/>
      <c r="N70" s="2328"/>
    </row>
    <row r="71" spans="1:14" ht="15">
      <c r="A71" s="2344"/>
      <c r="B71" s="940"/>
      <c r="C71" s="941"/>
      <c r="D71"/>
      <c r="E71"/>
      <c r="F71"/>
      <c r="G71" s="1112"/>
      <c r="H71"/>
      <c r="I71" s="1130"/>
      <c r="J71"/>
      <c r="K71"/>
      <c r="L71"/>
      <c r="M71"/>
      <c r="N71" s="2328"/>
    </row>
    <row r="72" spans="1:14" ht="15">
      <c r="A72" s="2344"/>
      <c r="B72" s="940"/>
      <c r="C72" s="941"/>
      <c r="D72"/>
      <c r="E72"/>
      <c r="F72"/>
      <c r="G72" s="1112"/>
      <c r="H72"/>
      <c r="I72" s="1130"/>
      <c r="J72"/>
      <c r="K72"/>
      <c r="L72"/>
      <c r="M72"/>
      <c r="N72" s="2328"/>
    </row>
    <row r="73" spans="1:14" ht="15">
      <c r="A73" s="2344"/>
      <c r="B73" s="944"/>
      <c r="C73" s="945"/>
      <c r="D73"/>
      <c r="E73"/>
      <c r="F73"/>
      <c r="G73" s="1112"/>
      <c r="H73"/>
      <c r="I73" s="1130"/>
      <c r="J73"/>
      <c r="K73"/>
      <c r="L73"/>
      <c r="M73"/>
      <c r="N73" s="2328"/>
    </row>
    <row r="74" spans="1:14" ht="15">
      <c r="A74" s="2344"/>
      <c r="B74" s="944"/>
      <c r="C74" s="945"/>
      <c r="D74"/>
      <c r="E74"/>
      <c r="F74"/>
      <c r="G74" s="1112"/>
      <c r="H74"/>
      <c r="I74" s="1130"/>
      <c r="J74"/>
      <c r="K74"/>
      <c r="L74"/>
      <c r="M74"/>
      <c r="N74" s="2328"/>
    </row>
    <row r="75" spans="1:14" ht="15">
      <c r="A75" s="2344"/>
      <c r="B75" s="944"/>
      <c r="C75" s="945"/>
      <c r="D75"/>
      <c r="E75"/>
      <c r="F75"/>
      <c r="G75" s="1112"/>
      <c r="H75"/>
      <c r="I75" s="1130"/>
      <c r="J75"/>
      <c r="K75"/>
      <c r="L75"/>
      <c r="M75"/>
      <c r="N75" s="2315"/>
    </row>
    <row r="76" spans="1:14" ht="15.75" thickBot="1">
      <c r="A76" s="2345"/>
      <c r="B76" s="2352" t="s">
        <v>1078</v>
      </c>
      <c r="C76" s="2353"/>
      <c r="D76" s="2353"/>
      <c r="E76" s="2353"/>
      <c r="F76" s="2353"/>
      <c r="G76" s="2354"/>
      <c r="H76" s="947"/>
      <c r="I76" s="2352" t="s">
        <v>1078</v>
      </c>
      <c r="J76" s="2353"/>
      <c r="K76" s="2353"/>
      <c r="L76" s="2353"/>
      <c r="M76" s="2353"/>
      <c r="N76" s="2355"/>
    </row>
    <row r="77" spans="1:14" s="1339" customFormat="1" ht="16.899999999999999" customHeight="1" thickTop="1" thickBot="1">
      <c r="A77" s="2329" t="s">
        <v>130</v>
      </c>
      <c r="B77" s="2340" t="s">
        <v>642</v>
      </c>
      <c r="C77" s="2340"/>
      <c r="D77" s="2341" t="s">
        <v>207</v>
      </c>
      <c r="E77" s="2341"/>
      <c r="F77" s="2341"/>
      <c r="G77" s="2341"/>
      <c r="H77" s="2341"/>
      <c r="I77" s="2341"/>
      <c r="J77" s="2341"/>
      <c r="K77" s="2341"/>
      <c r="L77" s="2341"/>
      <c r="M77" s="2341"/>
      <c r="N77" s="2342"/>
    </row>
    <row r="78" spans="1:14">
      <c r="A78" s="2343" t="s">
        <v>31</v>
      </c>
      <c r="B78" s="936"/>
      <c r="C78" s="937"/>
      <c r="D78" s="1131"/>
      <c r="E78" s="1131"/>
      <c r="F78" s="1131"/>
      <c r="G78" s="938"/>
      <c r="I78" s="1129"/>
      <c r="J78" s="1131"/>
      <c r="K78" s="1131"/>
      <c r="L78" s="1131"/>
      <c r="M78" s="1131"/>
      <c r="N78" s="2327"/>
    </row>
    <row r="79" spans="1:14" ht="15">
      <c r="A79" s="2344"/>
      <c r="B79" s="940"/>
      <c r="C79" s="941"/>
      <c r="E79"/>
      <c r="F79"/>
      <c r="G79" s="1112"/>
      <c r="H79"/>
      <c r="I79" s="1130"/>
      <c r="J79"/>
      <c r="K79"/>
      <c r="L79"/>
      <c r="M79"/>
      <c r="N79" s="2328"/>
    </row>
    <row r="80" spans="1:14" ht="15">
      <c r="A80" s="2344"/>
      <c r="B80" s="940"/>
      <c r="C80" s="941"/>
      <c r="D80"/>
      <c r="E80"/>
      <c r="F80"/>
      <c r="G80" s="1112"/>
      <c r="H80"/>
      <c r="I80" s="1130"/>
      <c r="J80"/>
      <c r="K80"/>
      <c r="L80"/>
      <c r="M80"/>
      <c r="N80" s="2328"/>
    </row>
    <row r="81" spans="1:14" ht="15">
      <c r="A81" s="2344"/>
      <c r="B81" s="940"/>
      <c r="C81" s="941"/>
      <c r="D81"/>
      <c r="E81"/>
      <c r="F81"/>
      <c r="G81" s="1112"/>
      <c r="H81"/>
      <c r="I81" s="1130"/>
      <c r="J81"/>
      <c r="K81"/>
      <c r="L81"/>
      <c r="M81"/>
      <c r="N81" s="2328"/>
    </row>
    <row r="82" spans="1:14" ht="15">
      <c r="A82" s="2344"/>
      <c r="B82" s="940"/>
      <c r="C82" s="941"/>
      <c r="D82"/>
      <c r="E82"/>
      <c r="F82"/>
      <c r="G82" s="1112"/>
      <c r="H82"/>
      <c r="I82" s="1130"/>
      <c r="J82"/>
      <c r="K82"/>
      <c r="L82"/>
      <c r="M82"/>
      <c r="N82" s="2328"/>
    </row>
    <row r="83" spans="1:14" ht="15">
      <c r="A83" s="2344"/>
      <c r="B83" s="944"/>
      <c r="C83" s="945"/>
      <c r="D83"/>
      <c r="E83"/>
      <c r="F83"/>
      <c r="G83" s="1112"/>
      <c r="H83"/>
      <c r="I83" s="1130"/>
      <c r="J83"/>
      <c r="K83"/>
      <c r="L83"/>
      <c r="M83"/>
      <c r="N83" s="2328"/>
    </row>
    <row r="84" spans="1:14" ht="15">
      <c r="A84" s="2344"/>
      <c r="B84" s="944"/>
      <c r="C84" s="945"/>
      <c r="D84"/>
      <c r="E84"/>
      <c r="F84"/>
      <c r="G84" s="1112"/>
      <c r="H84"/>
      <c r="I84" s="1130"/>
      <c r="J84"/>
      <c r="K84"/>
      <c r="L84"/>
      <c r="M84"/>
      <c r="N84" s="2328"/>
    </row>
    <row r="85" spans="1:14" ht="15">
      <c r="A85" s="2344"/>
      <c r="B85" s="944"/>
      <c r="C85" s="945"/>
      <c r="D85"/>
      <c r="E85"/>
      <c r="F85"/>
      <c r="G85" s="1112"/>
      <c r="H85"/>
      <c r="I85" s="1130"/>
      <c r="J85"/>
      <c r="K85"/>
      <c r="L85"/>
      <c r="M85"/>
      <c r="N85" s="2315"/>
    </row>
    <row r="86" spans="1:14" ht="15.75" thickBot="1">
      <c r="A86" s="2345"/>
      <c r="B86" s="2352" t="s">
        <v>1138</v>
      </c>
      <c r="C86" s="2353"/>
      <c r="D86" s="2353"/>
      <c r="E86" s="2353"/>
      <c r="F86" s="2353"/>
      <c r="G86" s="2354"/>
      <c r="H86" s="947"/>
      <c r="I86" s="2352" t="s">
        <v>1118</v>
      </c>
      <c r="J86" s="2353"/>
      <c r="K86" s="2353"/>
      <c r="L86" s="2353"/>
      <c r="M86" s="2353"/>
      <c r="N86" s="2355"/>
    </row>
    <row r="87" spans="1:14" s="1339" customFormat="1" ht="16.899999999999999" customHeight="1" thickTop="1" thickBot="1">
      <c r="A87" s="2329" t="str">
        <f>A77</f>
        <v>ITEM</v>
      </c>
      <c r="B87" s="2340" t="s">
        <v>642</v>
      </c>
      <c r="C87" s="2340"/>
      <c r="D87" s="2341" t="s">
        <v>174</v>
      </c>
      <c r="E87" s="2341"/>
      <c r="F87" s="2341"/>
      <c r="G87" s="2341"/>
      <c r="H87" s="2341"/>
      <c r="I87" s="2341"/>
      <c r="J87" s="2341"/>
      <c r="K87" s="2341"/>
      <c r="L87" s="2341"/>
      <c r="M87" s="2341"/>
      <c r="N87" s="2342"/>
    </row>
    <row r="88" spans="1:14">
      <c r="A88" s="2343" t="s">
        <v>38</v>
      </c>
      <c r="B88" s="936"/>
      <c r="C88" s="937"/>
      <c r="D88" s="1131"/>
      <c r="E88" s="1131"/>
      <c r="F88" s="1131"/>
      <c r="G88" s="938"/>
      <c r="I88" s="1129"/>
      <c r="J88" s="1131"/>
      <c r="K88" s="1131"/>
      <c r="L88" s="1131"/>
      <c r="M88" s="1131"/>
      <c r="N88" s="2327"/>
    </row>
    <row r="89" spans="1:14" ht="15">
      <c r="A89" s="2344"/>
      <c r="B89" s="940"/>
      <c r="C89" s="941"/>
      <c r="E89"/>
      <c r="F89"/>
      <c r="G89" s="1112"/>
      <c r="H89"/>
      <c r="I89" s="1130"/>
      <c r="J89"/>
      <c r="K89"/>
      <c r="L89"/>
      <c r="M89"/>
      <c r="N89" s="2328"/>
    </row>
    <row r="90" spans="1:14" ht="15">
      <c r="A90" s="2344"/>
      <c r="B90" s="940"/>
      <c r="C90" s="941"/>
      <c r="D90"/>
      <c r="E90"/>
      <c r="F90"/>
      <c r="G90" s="1112"/>
      <c r="H90"/>
      <c r="I90" s="1130"/>
      <c r="J90"/>
      <c r="K90"/>
      <c r="L90"/>
      <c r="M90"/>
      <c r="N90" s="2328"/>
    </row>
    <row r="91" spans="1:14" ht="15">
      <c r="A91" s="2344"/>
      <c r="B91" s="940"/>
      <c r="C91" s="941"/>
      <c r="D91"/>
      <c r="E91"/>
      <c r="F91"/>
      <c r="G91" s="1112"/>
      <c r="H91"/>
      <c r="I91" s="1130"/>
      <c r="J91"/>
      <c r="K91"/>
      <c r="L91"/>
      <c r="M91"/>
      <c r="N91" s="2328"/>
    </row>
    <row r="92" spans="1:14" ht="15">
      <c r="A92" s="2344"/>
      <c r="B92" s="940"/>
      <c r="C92" s="941"/>
      <c r="D92"/>
      <c r="E92"/>
      <c r="F92"/>
      <c r="G92" s="1112"/>
      <c r="H92"/>
      <c r="I92" s="1130"/>
      <c r="J92"/>
      <c r="K92"/>
      <c r="L92"/>
      <c r="M92"/>
      <c r="N92" s="2328"/>
    </row>
    <row r="93" spans="1:14" ht="15">
      <c r="A93" s="2344"/>
      <c r="B93" s="944"/>
      <c r="C93" s="945"/>
      <c r="D93"/>
      <c r="E93"/>
      <c r="F93"/>
      <c r="G93" s="1112"/>
      <c r="H93"/>
      <c r="I93" s="1130"/>
      <c r="J93"/>
      <c r="K93"/>
      <c r="L93"/>
      <c r="M93"/>
      <c r="N93" s="2328"/>
    </row>
    <row r="94" spans="1:14" ht="15">
      <c r="A94" s="2344"/>
      <c r="B94" s="944"/>
      <c r="C94" s="945"/>
      <c r="D94"/>
      <c r="E94"/>
      <c r="F94"/>
      <c r="G94" s="1112"/>
      <c r="H94"/>
      <c r="I94" s="1130"/>
      <c r="J94"/>
      <c r="K94"/>
      <c r="L94"/>
      <c r="M94"/>
      <c r="N94" s="2328"/>
    </row>
    <row r="95" spans="1:14" ht="15">
      <c r="A95" s="2344"/>
      <c r="B95" s="944"/>
      <c r="C95" s="945"/>
      <c r="D95"/>
      <c r="E95"/>
      <c r="F95"/>
      <c r="G95" s="1112"/>
      <c r="H95"/>
      <c r="I95" s="1130"/>
      <c r="J95"/>
      <c r="K95"/>
      <c r="L95"/>
      <c r="M95"/>
      <c r="N95" s="2315"/>
    </row>
    <row r="96" spans="1:14" ht="15.75" thickBot="1">
      <c r="A96" s="2345"/>
      <c r="B96" s="2352" t="s">
        <v>1119</v>
      </c>
      <c r="C96" s="2353"/>
      <c r="D96" s="2353"/>
      <c r="E96" s="2353"/>
      <c r="F96" s="2353"/>
      <c r="G96" s="2354"/>
      <c r="H96" s="947"/>
      <c r="I96" s="2352" t="s">
        <v>1120</v>
      </c>
      <c r="J96" s="2353"/>
      <c r="K96" s="2353"/>
      <c r="L96" s="2353"/>
      <c r="M96" s="2353"/>
      <c r="N96" s="2355"/>
    </row>
    <row r="97" spans="1:14" s="1339" customFormat="1" ht="36.75" customHeight="1" thickTop="1" thickBot="1">
      <c r="A97" s="2329" t="s">
        <v>130</v>
      </c>
      <c r="B97" s="2340" t="s">
        <v>642</v>
      </c>
      <c r="C97" s="2340"/>
      <c r="D97" s="2341" t="s">
        <v>722</v>
      </c>
      <c r="E97" s="2341"/>
      <c r="F97" s="2341"/>
      <c r="G97" s="2341"/>
      <c r="H97" s="2341"/>
      <c r="I97" s="2341"/>
      <c r="J97" s="2341"/>
      <c r="K97" s="2341"/>
      <c r="L97" s="2341"/>
      <c r="M97" s="2341"/>
      <c r="N97" s="2342"/>
    </row>
    <row r="98" spans="1:14" ht="14.1" customHeight="1">
      <c r="A98" s="2343" t="s">
        <v>45</v>
      </c>
      <c r="B98" s="936"/>
      <c r="C98" s="937"/>
      <c r="D98" s="1131"/>
      <c r="E98" s="1131"/>
      <c r="F98" s="1131"/>
      <c r="G98" s="938"/>
      <c r="I98" s="1129"/>
      <c r="J98" s="1131"/>
      <c r="K98" s="1131"/>
      <c r="L98" s="1131"/>
      <c r="M98" s="1131"/>
      <c r="N98" s="2327"/>
    </row>
    <row r="99" spans="1:14" ht="14.1" customHeight="1">
      <c r="A99" s="2344"/>
      <c r="B99" s="940"/>
      <c r="C99" s="941"/>
      <c r="E99"/>
      <c r="F99"/>
      <c r="G99" s="1112"/>
      <c r="H99"/>
      <c r="I99" s="1130"/>
      <c r="J99"/>
      <c r="K99"/>
      <c r="L99"/>
      <c r="M99"/>
      <c r="N99" s="2328"/>
    </row>
    <row r="100" spans="1:14" ht="14.1" customHeight="1">
      <c r="A100" s="2344"/>
      <c r="B100" s="940"/>
      <c r="C100" s="941"/>
      <c r="D100"/>
      <c r="E100"/>
      <c r="F100"/>
      <c r="G100" s="1112"/>
      <c r="H100"/>
      <c r="I100" s="1130"/>
      <c r="J100"/>
      <c r="K100"/>
      <c r="L100"/>
      <c r="M100"/>
      <c r="N100" s="2328"/>
    </row>
    <row r="101" spans="1:14" ht="14.1" customHeight="1">
      <c r="A101" s="2344"/>
      <c r="B101" s="940"/>
      <c r="C101" s="941"/>
      <c r="D101"/>
      <c r="E101"/>
      <c r="F101"/>
      <c r="G101" s="1112"/>
      <c r="H101"/>
      <c r="I101" s="1130"/>
      <c r="J101"/>
      <c r="K101"/>
      <c r="L101"/>
      <c r="M101"/>
      <c r="N101" s="2328"/>
    </row>
    <row r="102" spans="1:14" ht="14.1" customHeight="1">
      <c r="A102" s="2344"/>
      <c r="B102" s="940"/>
      <c r="C102" s="941"/>
      <c r="D102"/>
      <c r="E102"/>
      <c r="F102"/>
      <c r="G102" s="1112"/>
      <c r="H102"/>
      <c r="I102" s="1130"/>
      <c r="J102"/>
      <c r="K102"/>
      <c r="L102"/>
      <c r="M102"/>
      <c r="N102" s="2328"/>
    </row>
    <row r="103" spans="1:14" ht="14.1" customHeight="1">
      <c r="A103" s="2344"/>
      <c r="B103" s="944"/>
      <c r="C103" s="945"/>
      <c r="D103"/>
      <c r="E103"/>
      <c r="F103"/>
      <c r="G103" s="1112"/>
      <c r="H103"/>
      <c r="I103" s="1130"/>
      <c r="J103"/>
      <c r="K103"/>
      <c r="L103"/>
      <c r="M103"/>
      <c r="N103" s="2328"/>
    </row>
    <row r="104" spans="1:14" ht="14.1" customHeight="1">
      <c r="A104" s="2344"/>
      <c r="B104" s="944"/>
      <c r="C104" s="945"/>
      <c r="D104"/>
      <c r="E104"/>
      <c r="F104"/>
      <c r="G104" s="1112"/>
      <c r="H104"/>
      <c r="I104" s="1130"/>
      <c r="J104"/>
      <c r="K104"/>
      <c r="L104"/>
      <c r="M104"/>
      <c r="N104" s="2328"/>
    </row>
    <row r="105" spans="1:14" ht="14.1" customHeight="1">
      <c r="A105" s="2344"/>
      <c r="B105" s="944"/>
      <c r="C105" s="945"/>
      <c r="D105"/>
      <c r="E105"/>
      <c r="F105"/>
      <c r="G105" s="1112"/>
      <c r="H105"/>
      <c r="I105" s="1130"/>
      <c r="J105"/>
      <c r="K105"/>
      <c r="L105"/>
      <c r="M105"/>
      <c r="N105" s="2315"/>
    </row>
    <row r="106" spans="1:14" ht="14.1" customHeight="1" thickBot="1">
      <c r="A106" s="2345"/>
      <c r="B106" s="2352" t="s">
        <v>1079</v>
      </c>
      <c r="C106" s="2353"/>
      <c r="D106" s="2353"/>
      <c r="E106" s="2353"/>
      <c r="F106" s="2353"/>
      <c r="G106" s="2354"/>
      <c r="H106" s="947"/>
      <c r="I106" s="2352" t="s">
        <v>1121</v>
      </c>
      <c r="J106" s="2353"/>
      <c r="K106" s="2353"/>
      <c r="L106" s="2353"/>
      <c r="M106" s="2353"/>
      <c r="N106" s="2355"/>
    </row>
    <row r="107" spans="1:14" ht="24.75" customHeight="1" thickTop="1" thickBot="1">
      <c r="A107" s="2329" t="s">
        <v>130</v>
      </c>
      <c r="B107" s="2340" t="s">
        <v>642</v>
      </c>
      <c r="C107" s="2340"/>
      <c r="D107" s="2341" t="s">
        <v>191</v>
      </c>
      <c r="E107" s="2341"/>
      <c r="F107" s="2341"/>
      <c r="G107" s="2341"/>
      <c r="H107" s="2341"/>
      <c r="I107" s="2341"/>
      <c r="J107" s="2341"/>
      <c r="K107" s="2341"/>
      <c r="L107" s="2341"/>
      <c r="M107" s="2341"/>
      <c r="N107" s="2342"/>
    </row>
    <row r="108" spans="1:14" ht="14.1" customHeight="1">
      <c r="A108" s="2343" t="s">
        <v>57</v>
      </c>
      <c r="B108" s="936"/>
      <c r="C108" s="937"/>
      <c r="D108" s="1131"/>
      <c r="E108" s="1131"/>
      <c r="F108" s="1131"/>
      <c r="G108" s="938"/>
      <c r="I108" s="1129"/>
      <c r="J108" s="1131"/>
      <c r="K108" s="1131"/>
      <c r="L108" s="1131"/>
      <c r="M108" s="1131"/>
      <c r="N108" s="2327"/>
    </row>
    <row r="109" spans="1:14" ht="14.1" customHeight="1">
      <c r="A109" s="2344"/>
      <c r="B109" s="940"/>
      <c r="C109" s="941"/>
      <c r="E109"/>
      <c r="F109"/>
      <c r="G109" s="1112"/>
      <c r="H109"/>
      <c r="I109" s="1130"/>
      <c r="J109"/>
      <c r="K109"/>
      <c r="L109"/>
      <c r="M109"/>
      <c r="N109" s="2328"/>
    </row>
    <row r="110" spans="1:14" ht="14.1" customHeight="1">
      <c r="A110" s="2344"/>
      <c r="B110" s="940"/>
      <c r="C110" s="941"/>
      <c r="D110"/>
      <c r="E110"/>
      <c r="F110"/>
      <c r="G110" s="1112"/>
      <c r="H110"/>
      <c r="I110" s="1130"/>
      <c r="J110"/>
      <c r="K110"/>
      <c r="L110"/>
      <c r="M110"/>
      <c r="N110" s="2328"/>
    </row>
    <row r="111" spans="1:14" ht="14.1" customHeight="1">
      <c r="A111" s="2344"/>
      <c r="B111" s="940"/>
      <c r="C111" s="941"/>
      <c r="D111"/>
      <c r="E111"/>
      <c r="F111"/>
      <c r="G111" s="1112"/>
      <c r="H111"/>
      <c r="I111" s="1130"/>
      <c r="J111"/>
      <c r="K111"/>
      <c r="L111"/>
      <c r="M111"/>
      <c r="N111" s="2328"/>
    </row>
    <row r="112" spans="1:14" ht="14.1" customHeight="1">
      <c r="A112" s="2344"/>
      <c r="B112" s="940"/>
      <c r="C112" s="941"/>
      <c r="D112"/>
      <c r="E112"/>
      <c r="F112"/>
      <c r="G112" s="1112"/>
      <c r="H112"/>
      <c r="I112" s="1130"/>
      <c r="J112"/>
      <c r="K112"/>
      <c r="L112"/>
      <c r="M112"/>
      <c r="N112" s="2328"/>
    </row>
    <row r="113" spans="1:14" ht="14.1" customHeight="1">
      <c r="A113" s="2344"/>
      <c r="B113" s="944"/>
      <c r="C113" s="945"/>
      <c r="D113"/>
      <c r="E113"/>
      <c r="F113"/>
      <c r="G113" s="1112"/>
      <c r="H113"/>
      <c r="I113" s="1130"/>
      <c r="J113"/>
      <c r="K113"/>
      <c r="L113"/>
      <c r="M113"/>
      <c r="N113" s="2328"/>
    </row>
    <row r="114" spans="1:14" ht="14.1" customHeight="1">
      <c r="A114" s="2344"/>
      <c r="B114" s="944"/>
      <c r="C114" s="945"/>
      <c r="D114"/>
      <c r="E114"/>
      <c r="F114"/>
      <c r="G114" s="1112"/>
      <c r="H114"/>
      <c r="I114" s="1130"/>
      <c r="J114"/>
      <c r="K114"/>
      <c r="L114"/>
      <c r="M114"/>
      <c r="N114" s="2328"/>
    </row>
    <row r="115" spans="1:14" ht="14.1" customHeight="1">
      <c r="A115" s="2344"/>
      <c r="B115" s="944"/>
      <c r="C115" s="945"/>
      <c r="D115"/>
      <c r="E115"/>
      <c r="F115"/>
      <c r="G115" s="1112"/>
      <c r="H115"/>
      <c r="I115" s="1130"/>
      <c r="J115"/>
      <c r="K115"/>
      <c r="L115"/>
      <c r="M115"/>
      <c r="N115" s="2315"/>
    </row>
    <row r="116" spans="1:14" ht="14.1" customHeight="1" thickBot="1">
      <c r="A116" s="2345"/>
      <c r="B116" s="2352"/>
      <c r="C116" s="2353"/>
      <c r="D116" s="2353"/>
      <c r="E116" s="2353"/>
      <c r="F116" s="2353"/>
      <c r="G116" s="2354"/>
      <c r="H116" s="947"/>
      <c r="I116" s="2352"/>
      <c r="J116" s="2353"/>
      <c r="K116" s="2353"/>
      <c r="L116" s="2353"/>
      <c r="M116" s="2353"/>
      <c r="N116" s="2355"/>
    </row>
    <row r="117" spans="1:14" ht="14.1" customHeight="1" thickTop="1" thickBot="1">
      <c r="A117" s="2329" t="s">
        <v>130</v>
      </c>
      <c r="B117" s="2340" t="s">
        <v>642</v>
      </c>
      <c r="C117" s="2340"/>
      <c r="D117" s="2341" t="s">
        <v>192</v>
      </c>
      <c r="E117" s="2341"/>
      <c r="F117" s="2341"/>
      <c r="G117" s="2341"/>
      <c r="H117" s="2341"/>
      <c r="I117" s="2341"/>
      <c r="J117" s="2341"/>
      <c r="K117" s="2341"/>
      <c r="L117" s="2341"/>
      <c r="M117" s="2341"/>
      <c r="N117" s="2342"/>
    </row>
    <row r="118" spans="1:14" ht="14.1" customHeight="1">
      <c r="A118" s="2343" t="s">
        <v>57</v>
      </c>
      <c r="B118" s="936"/>
      <c r="C118" s="937"/>
      <c r="D118" s="1131"/>
      <c r="E118" s="1131"/>
      <c r="F118" s="1131"/>
      <c r="G118" s="938"/>
      <c r="I118" s="1129"/>
      <c r="J118" s="1131"/>
      <c r="K118" s="1131"/>
      <c r="L118" s="1131"/>
      <c r="M118" s="1131"/>
      <c r="N118" s="2327"/>
    </row>
    <row r="119" spans="1:14" ht="14.1" customHeight="1">
      <c r="A119" s="2344"/>
      <c r="B119" s="940"/>
      <c r="C119" s="941"/>
      <c r="E119"/>
      <c r="F119"/>
      <c r="G119" s="1112"/>
      <c r="H119"/>
      <c r="I119" s="1130"/>
      <c r="J119"/>
      <c r="K119"/>
      <c r="L119"/>
      <c r="M119"/>
      <c r="N119" s="2328"/>
    </row>
    <row r="120" spans="1:14" ht="14.1" customHeight="1">
      <c r="A120" s="2344"/>
      <c r="B120" s="940"/>
      <c r="C120" s="941"/>
      <c r="D120"/>
      <c r="E120"/>
      <c r="F120"/>
      <c r="G120" s="1112"/>
      <c r="H120"/>
      <c r="I120" s="1130"/>
      <c r="J120"/>
      <c r="K120"/>
      <c r="L120"/>
      <c r="M120"/>
      <c r="N120" s="2328"/>
    </row>
    <row r="121" spans="1:14" ht="14.1" customHeight="1">
      <c r="A121" s="2344"/>
      <c r="B121" s="940"/>
      <c r="C121" s="941"/>
      <c r="D121"/>
      <c r="E121"/>
      <c r="F121"/>
      <c r="G121" s="1112"/>
      <c r="H121"/>
      <c r="I121" s="1130"/>
      <c r="J121"/>
      <c r="K121"/>
      <c r="L121"/>
      <c r="M121"/>
      <c r="N121" s="2328"/>
    </row>
    <row r="122" spans="1:14" ht="14.1" customHeight="1">
      <c r="A122" s="2344"/>
      <c r="B122" s="940"/>
      <c r="C122" s="941"/>
      <c r="D122"/>
      <c r="E122"/>
      <c r="F122"/>
      <c r="G122" s="1112"/>
      <c r="H122"/>
      <c r="I122" s="1130"/>
      <c r="J122"/>
      <c r="K122"/>
      <c r="L122"/>
      <c r="M122"/>
      <c r="N122" s="2328"/>
    </row>
    <row r="123" spans="1:14" ht="14.1" customHeight="1">
      <c r="A123" s="2344"/>
      <c r="B123" s="944"/>
      <c r="C123" s="945"/>
      <c r="D123"/>
      <c r="E123"/>
      <c r="F123"/>
      <c r="G123" s="1112"/>
      <c r="H123"/>
      <c r="I123" s="1130"/>
      <c r="J123"/>
      <c r="K123"/>
      <c r="L123"/>
      <c r="M123"/>
      <c r="N123" s="2328"/>
    </row>
    <row r="124" spans="1:14" ht="14.1" customHeight="1">
      <c r="A124" s="2344"/>
      <c r="B124" s="944"/>
      <c r="C124" s="945"/>
      <c r="D124"/>
      <c r="E124"/>
      <c r="F124"/>
      <c r="G124" s="1112"/>
      <c r="H124"/>
      <c r="I124" s="1130"/>
      <c r="J124"/>
      <c r="K124"/>
      <c r="L124"/>
      <c r="M124"/>
      <c r="N124" s="2328"/>
    </row>
    <row r="125" spans="1:14" ht="14.1" customHeight="1">
      <c r="A125" s="2344"/>
      <c r="B125" s="944"/>
      <c r="C125" s="945"/>
      <c r="D125"/>
      <c r="E125"/>
      <c r="F125"/>
      <c r="G125" s="1112"/>
      <c r="H125"/>
      <c r="I125" s="1130"/>
      <c r="J125"/>
      <c r="K125"/>
      <c r="L125"/>
      <c r="M125"/>
      <c r="N125" s="2315"/>
    </row>
    <row r="126" spans="1:14" ht="14.1" customHeight="1" thickBot="1">
      <c r="A126" s="2345"/>
      <c r="B126" s="2352" t="s">
        <v>1139</v>
      </c>
      <c r="C126" s="2353"/>
      <c r="D126" s="2353"/>
      <c r="E126" s="2353"/>
      <c r="F126" s="2353"/>
      <c r="G126" s="2354"/>
      <c r="H126" s="947"/>
      <c r="I126" s="2352" t="s">
        <v>1139</v>
      </c>
      <c r="J126" s="2353"/>
      <c r="K126" s="2353"/>
      <c r="L126" s="2353"/>
      <c r="M126" s="2353"/>
      <c r="N126" s="2355"/>
    </row>
    <row r="127" spans="1:14" ht="14.1" customHeight="1" thickTop="1" thickBot="1">
      <c r="A127" s="2329" t="s">
        <v>130</v>
      </c>
      <c r="B127" s="2340" t="s">
        <v>642</v>
      </c>
      <c r="C127" s="2340"/>
      <c r="D127" s="2341" t="s">
        <v>196</v>
      </c>
      <c r="E127" s="2341"/>
      <c r="F127" s="2341"/>
      <c r="G127" s="2341"/>
      <c r="H127" s="2341"/>
      <c r="I127" s="2341"/>
      <c r="J127" s="2341"/>
      <c r="K127" s="2341"/>
      <c r="L127" s="2341"/>
      <c r="M127" s="2341"/>
      <c r="N127" s="2342"/>
    </row>
    <row r="128" spans="1:14" ht="14.1" customHeight="1">
      <c r="A128" s="2343" t="s">
        <v>60</v>
      </c>
      <c r="B128" s="936"/>
      <c r="C128" s="937"/>
      <c r="D128" s="1131"/>
      <c r="E128" s="1131"/>
      <c r="F128" s="1131"/>
      <c r="G128" s="938"/>
      <c r="I128" s="1129"/>
      <c r="J128" s="1131"/>
      <c r="K128" s="1131"/>
      <c r="L128" s="1131"/>
      <c r="M128" s="1131"/>
      <c r="N128" s="2327"/>
    </row>
    <row r="129" spans="1:14" ht="14.1" customHeight="1">
      <c r="A129" s="2344"/>
      <c r="B129" s="940"/>
      <c r="C129" s="941"/>
      <c r="E129"/>
      <c r="F129"/>
      <c r="G129" s="1112"/>
      <c r="H129"/>
      <c r="I129" s="1130"/>
      <c r="J129"/>
      <c r="K129"/>
      <c r="L129"/>
      <c r="M129"/>
      <c r="N129" s="2328"/>
    </row>
    <row r="130" spans="1:14" ht="14.1" customHeight="1">
      <c r="A130" s="2344"/>
      <c r="B130" s="940"/>
      <c r="C130" s="941"/>
      <c r="D130"/>
      <c r="E130"/>
      <c r="F130"/>
      <c r="G130" s="1112"/>
      <c r="H130"/>
      <c r="I130" s="1130"/>
      <c r="J130"/>
      <c r="K130"/>
      <c r="L130"/>
      <c r="M130"/>
      <c r="N130" s="2328"/>
    </row>
    <row r="131" spans="1:14" ht="14.1" customHeight="1">
      <c r="A131" s="2344"/>
      <c r="B131" s="940"/>
      <c r="C131" s="941"/>
      <c r="D131"/>
      <c r="E131"/>
      <c r="F131"/>
      <c r="G131" s="1112"/>
      <c r="H131"/>
      <c r="I131" s="1130"/>
      <c r="J131"/>
      <c r="K131"/>
      <c r="L131"/>
      <c r="M131"/>
      <c r="N131" s="2328"/>
    </row>
    <row r="132" spans="1:14" ht="14.1" customHeight="1">
      <c r="A132" s="2344"/>
      <c r="B132" s="940"/>
      <c r="C132" s="941"/>
      <c r="D132"/>
      <c r="E132"/>
      <c r="F132"/>
      <c r="G132" s="1112"/>
      <c r="H132"/>
      <c r="I132" s="1130"/>
      <c r="J132"/>
      <c r="K132"/>
      <c r="L132"/>
      <c r="M132"/>
      <c r="N132" s="2328"/>
    </row>
    <row r="133" spans="1:14" ht="14.1" customHeight="1">
      <c r="A133" s="2344"/>
      <c r="B133" s="944"/>
      <c r="C133" s="945"/>
      <c r="D133"/>
      <c r="E133"/>
      <c r="F133"/>
      <c r="G133" s="1112"/>
      <c r="H133"/>
      <c r="I133" s="1130"/>
      <c r="J133"/>
      <c r="K133"/>
      <c r="L133"/>
      <c r="M133"/>
      <c r="N133" s="2328"/>
    </row>
    <row r="134" spans="1:14" ht="14.1" customHeight="1">
      <c r="A134" s="2344"/>
      <c r="B134" s="944"/>
      <c r="C134" s="945"/>
      <c r="D134"/>
      <c r="E134"/>
      <c r="F134"/>
      <c r="G134" s="1112"/>
      <c r="H134"/>
      <c r="I134" s="1130"/>
      <c r="J134"/>
      <c r="K134"/>
      <c r="L134"/>
      <c r="M134"/>
      <c r="N134" s="2328"/>
    </row>
    <row r="135" spans="1:14" ht="14.1" customHeight="1">
      <c r="A135" s="2344"/>
      <c r="B135" s="944"/>
      <c r="C135" s="945"/>
      <c r="D135"/>
      <c r="E135"/>
      <c r="F135"/>
      <c r="G135" s="1112"/>
      <c r="H135"/>
      <c r="I135" s="1130"/>
      <c r="J135"/>
      <c r="K135"/>
      <c r="L135"/>
      <c r="M135"/>
      <c r="N135" s="2315"/>
    </row>
    <row r="136" spans="1:14" ht="14.1" customHeight="1" thickBot="1">
      <c r="A136" s="2345"/>
      <c r="B136" s="2352" t="s">
        <v>1140</v>
      </c>
      <c r="C136" s="2353"/>
      <c r="D136" s="2353"/>
      <c r="E136" s="2353"/>
      <c r="F136" s="2353"/>
      <c r="G136" s="2354"/>
      <c r="H136" s="947"/>
      <c r="I136" s="2352" t="s">
        <v>1140</v>
      </c>
      <c r="J136" s="2353"/>
      <c r="K136" s="2353"/>
      <c r="L136" s="2353"/>
      <c r="M136" s="2353"/>
      <c r="N136" s="2355"/>
    </row>
    <row r="137" spans="1:14" s="1339" customFormat="1" ht="27" customHeight="1" thickTop="1" thickBot="1">
      <c r="A137" s="2329" t="s">
        <v>130</v>
      </c>
      <c r="B137" s="2340" t="s">
        <v>642</v>
      </c>
      <c r="C137" s="2340"/>
      <c r="D137" s="2357" t="s">
        <v>197</v>
      </c>
      <c r="E137" s="2357"/>
      <c r="F137" s="2357"/>
      <c r="G137" s="2357"/>
      <c r="H137" s="2357"/>
      <c r="I137" s="2357"/>
      <c r="J137" s="2357"/>
      <c r="K137" s="2357"/>
      <c r="L137" s="2357"/>
      <c r="M137" s="2357"/>
      <c r="N137" s="2358"/>
    </row>
    <row r="138" spans="1:14" ht="14.1" customHeight="1">
      <c r="A138" s="2343" t="s">
        <v>61</v>
      </c>
      <c r="B138" s="936"/>
      <c r="C138" s="937"/>
      <c r="D138" s="1131"/>
      <c r="E138" s="1131"/>
      <c r="F138" s="1131"/>
      <c r="G138" s="938"/>
      <c r="I138" s="1129"/>
      <c r="J138" s="1131"/>
      <c r="K138" s="1131"/>
      <c r="L138" s="1131"/>
      <c r="M138" s="1131"/>
      <c r="N138" s="2327"/>
    </row>
    <row r="139" spans="1:14" ht="14.1" customHeight="1">
      <c r="A139" s="2344"/>
      <c r="B139" s="940"/>
      <c r="C139" s="941"/>
      <c r="E139"/>
      <c r="F139"/>
      <c r="G139" s="1112"/>
      <c r="H139"/>
      <c r="I139" s="1130"/>
      <c r="J139"/>
      <c r="K139"/>
      <c r="L139"/>
      <c r="M139"/>
      <c r="N139" s="2328"/>
    </row>
    <row r="140" spans="1:14" ht="14.1" customHeight="1">
      <c r="A140" s="2344"/>
      <c r="B140" s="940"/>
      <c r="C140" s="941"/>
      <c r="D140"/>
      <c r="E140"/>
      <c r="F140"/>
      <c r="G140" s="1112"/>
      <c r="H140"/>
      <c r="I140" s="1130"/>
      <c r="J140"/>
      <c r="K140"/>
      <c r="L140"/>
      <c r="M140"/>
      <c r="N140" s="2328"/>
    </row>
    <row r="141" spans="1:14" ht="14.1" customHeight="1">
      <c r="A141" s="2344"/>
      <c r="B141" s="940"/>
      <c r="C141" s="941"/>
      <c r="D141"/>
      <c r="E141"/>
      <c r="F141"/>
      <c r="G141" s="1112"/>
      <c r="H141"/>
      <c r="I141" s="1130"/>
      <c r="J141"/>
      <c r="K141"/>
      <c r="L141"/>
      <c r="M141"/>
      <c r="N141" s="2328"/>
    </row>
    <row r="142" spans="1:14" ht="14.1" customHeight="1">
      <c r="A142" s="2344"/>
      <c r="B142" s="940"/>
      <c r="C142" s="941"/>
      <c r="D142"/>
      <c r="E142"/>
      <c r="F142"/>
      <c r="G142" s="1112"/>
      <c r="H142"/>
      <c r="I142" s="1130"/>
      <c r="J142"/>
      <c r="K142"/>
      <c r="L142"/>
      <c r="M142"/>
      <c r="N142" s="2328"/>
    </row>
    <row r="143" spans="1:14" ht="14.1" customHeight="1">
      <c r="A143" s="2344"/>
      <c r="B143" s="944"/>
      <c r="C143" s="945"/>
      <c r="D143"/>
      <c r="E143"/>
      <c r="F143"/>
      <c r="G143" s="1112"/>
      <c r="H143"/>
      <c r="I143" s="1130"/>
      <c r="J143"/>
      <c r="K143"/>
      <c r="L143"/>
      <c r="M143"/>
      <c r="N143" s="2328"/>
    </row>
    <row r="144" spans="1:14" ht="14.1" customHeight="1">
      <c r="A144" s="2344"/>
      <c r="B144" s="944"/>
      <c r="C144" s="945"/>
      <c r="D144"/>
      <c r="E144"/>
      <c r="F144"/>
      <c r="G144" s="1112"/>
      <c r="H144"/>
      <c r="I144" s="1130"/>
      <c r="J144"/>
      <c r="K144"/>
      <c r="L144"/>
      <c r="M144"/>
      <c r="N144" s="2328"/>
    </row>
    <row r="145" spans="1:14" ht="14.1" customHeight="1">
      <c r="A145" s="2344"/>
      <c r="B145" s="944"/>
      <c r="C145" s="945"/>
      <c r="D145"/>
      <c r="E145"/>
      <c r="F145"/>
      <c r="G145" s="1112"/>
      <c r="H145"/>
      <c r="I145" s="1130"/>
      <c r="J145"/>
      <c r="K145"/>
      <c r="L145"/>
      <c r="M145"/>
      <c r="N145" s="2315"/>
    </row>
    <row r="146" spans="1:14" ht="14.1" customHeight="1" thickBot="1">
      <c r="A146" s="2345"/>
      <c r="B146" s="2352" t="s">
        <v>1148</v>
      </c>
      <c r="C146" s="2353"/>
      <c r="D146" s="2353"/>
      <c r="E146" s="2353"/>
      <c r="F146" s="2353"/>
      <c r="G146" s="2354"/>
      <c r="H146" s="947"/>
      <c r="I146" s="2352" t="s">
        <v>1149</v>
      </c>
      <c r="J146" s="2353"/>
      <c r="K146" s="2353"/>
      <c r="L146" s="2353"/>
      <c r="M146" s="2353"/>
      <c r="N146" s="2355"/>
    </row>
    <row r="147" spans="1:14" s="1339" customFormat="1" ht="16.899999999999999" customHeight="1" thickTop="1" thickBot="1">
      <c r="A147" s="2329" t="s">
        <v>130</v>
      </c>
      <c r="B147" s="2340" t="s">
        <v>642</v>
      </c>
      <c r="C147" s="2340"/>
      <c r="D147" s="2357" t="s">
        <v>548</v>
      </c>
      <c r="E147" s="2357"/>
      <c r="F147" s="2357"/>
      <c r="G147" s="2357"/>
      <c r="H147" s="2357"/>
      <c r="I147" s="2357"/>
      <c r="J147" s="2357"/>
      <c r="K147" s="2357"/>
      <c r="L147" s="2357"/>
      <c r="M147" s="2357"/>
      <c r="N147" s="2358"/>
    </row>
    <row r="148" spans="1:14" ht="14.1" customHeight="1">
      <c r="A148" s="2343" t="s">
        <v>64</v>
      </c>
      <c r="B148" s="936"/>
      <c r="C148" s="937"/>
      <c r="D148" s="1131"/>
      <c r="E148" s="1131"/>
      <c r="F148" s="1131"/>
      <c r="G148" s="938"/>
      <c r="I148" s="1129"/>
      <c r="J148" s="1131"/>
      <c r="K148" s="1131"/>
      <c r="L148" s="1131"/>
      <c r="M148" s="1131"/>
      <c r="N148" s="2327"/>
    </row>
    <row r="149" spans="1:14" ht="14.1" customHeight="1">
      <c r="A149" s="2344"/>
      <c r="B149" s="940"/>
      <c r="C149" s="941"/>
      <c r="E149"/>
      <c r="F149"/>
      <c r="G149" s="1112"/>
      <c r="H149"/>
      <c r="I149" s="1130"/>
      <c r="J149"/>
      <c r="K149"/>
      <c r="L149"/>
      <c r="M149"/>
      <c r="N149" s="2328"/>
    </row>
    <row r="150" spans="1:14" ht="14.1" customHeight="1">
      <c r="A150" s="2344"/>
      <c r="B150" s="940"/>
      <c r="C150" s="941"/>
      <c r="D150"/>
      <c r="E150"/>
      <c r="F150"/>
      <c r="G150" s="1112"/>
      <c r="H150"/>
      <c r="I150" s="1130"/>
      <c r="J150"/>
      <c r="K150"/>
      <c r="L150"/>
      <c r="M150"/>
      <c r="N150" s="2328"/>
    </row>
    <row r="151" spans="1:14" ht="14.1" customHeight="1">
      <c r="A151" s="2344"/>
      <c r="B151" s="940"/>
      <c r="C151" s="941"/>
      <c r="D151"/>
      <c r="E151"/>
      <c r="F151"/>
      <c r="G151" s="1112"/>
      <c r="H151"/>
      <c r="I151" s="1130"/>
      <c r="J151"/>
      <c r="K151"/>
      <c r="L151"/>
      <c r="M151"/>
      <c r="N151" s="2328"/>
    </row>
    <row r="152" spans="1:14" ht="14.1" customHeight="1">
      <c r="A152" s="2344"/>
      <c r="B152" s="940"/>
      <c r="C152" s="941"/>
      <c r="D152"/>
      <c r="E152"/>
      <c r="F152"/>
      <c r="G152" s="1112"/>
      <c r="H152"/>
      <c r="I152" s="1130"/>
      <c r="J152"/>
      <c r="K152"/>
      <c r="L152"/>
      <c r="M152"/>
      <c r="N152" s="2328"/>
    </row>
    <row r="153" spans="1:14" ht="14.1" customHeight="1">
      <c r="A153" s="2344"/>
      <c r="B153" s="944"/>
      <c r="C153" s="945"/>
      <c r="D153"/>
      <c r="E153"/>
      <c r="F153"/>
      <c r="G153" s="1112"/>
      <c r="H153"/>
      <c r="I153" s="1130"/>
      <c r="J153"/>
      <c r="K153"/>
      <c r="L153"/>
      <c r="M153"/>
      <c r="N153" s="2328"/>
    </row>
    <row r="154" spans="1:14" ht="14.1" customHeight="1">
      <c r="A154" s="2344"/>
      <c r="B154" s="944"/>
      <c r="C154" s="945"/>
      <c r="D154"/>
      <c r="E154"/>
      <c r="F154"/>
      <c r="G154" s="1112"/>
      <c r="H154"/>
      <c r="I154" s="1130"/>
      <c r="J154"/>
      <c r="K154"/>
      <c r="L154"/>
      <c r="M154"/>
      <c r="N154" s="2328"/>
    </row>
    <row r="155" spans="1:14" ht="14.1" customHeight="1">
      <c r="A155" s="2344"/>
      <c r="B155" s="944"/>
      <c r="C155" s="945"/>
      <c r="D155"/>
      <c r="E155"/>
      <c r="F155"/>
      <c r="G155" s="1112"/>
      <c r="H155"/>
      <c r="I155" s="1130"/>
      <c r="J155"/>
      <c r="K155"/>
      <c r="L155"/>
      <c r="M155"/>
      <c r="N155" s="2315"/>
    </row>
    <row r="156" spans="1:14" ht="14.1" customHeight="1" thickBot="1">
      <c r="A156" s="2345"/>
      <c r="B156" s="2352" t="s">
        <v>1123</v>
      </c>
      <c r="C156" s="2353"/>
      <c r="D156" s="2353"/>
      <c r="E156" s="2353"/>
      <c r="F156" s="2353"/>
      <c r="G156" s="2354"/>
      <c r="H156" s="947"/>
      <c r="I156" s="2352" t="s">
        <v>1080</v>
      </c>
      <c r="J156" s="2353"/>
      <c r="K156" s="2353"/>
      <c r="L156" s="2353"/>
      <c r="M156" s="2353"/>
      <c r="N156" s="2355"/>
    </row>
    <row r="157" spans="1:14" s="1339" customFormat="1" ht="39" customHeight="1" thickTop="1" thickBot="1">
      <c r="A157" s="2329" t="s">
        <v>130</v>
      </c>
      <c r="B157" s="2340" t="s">
        <v>642</v>
      </c>
      <c r="C157" s="2340"/>
      <c r="D157" s="2357" t="s">
        <v>205</v>
      </c>
      <c r="E157" s="2357"/>
      <c r="F157" s="2357"/>
      <c r="G157" s="2357"/>
      <c r="H157" s="2357"/>
      <c r="I157" s="2357"/>
      <c r="J157" s="2357"/>
      <c r="K157" s="2357"/>
      <c r="L157" s="2357"/>
      <c r="M157" s="2357"/>
      <c r="N157" s="2358"/>
    </row>
    <row r="158" spans="1:14" ht="14.1" customHeight="1">
      <c r="A158" s="2343" t="s">
        <v>69</v>
      </c>
      <c r="B158" s="936"/>
      <c r="C158" s="937"/>
      <c r="D158" s="1131"/>
      <c r="E158" s="1131"/>
      <c r="F158" s="1131"/>
      <c r="G158" s="938"/>
      <c r="I158" s="1129"/>
      <c r="J158" s="1131"/>
      <c r="K158" s="1131"/>
      <c r="L158" s="1131"/>
      <c r="M158" s="1131"/>
      <c r="N158" s="2327"/>
    </row>
    <row r="159" spans="1:14" ht="14.1" customHeight="1">
      <c r="A159" s="2344"/>
      <c r="B159" s="940"/>
      <c r="C159" s="941"/>
      <c r="E159"/>
      <c r="F159"/>
      <c r="G159" s="1112"/>
      <c r="H159"/>
      <c r="I159" s="1130"/>
      <c r="J159"/>
      <c r="K159"/>
      <c r="L159"/>
      <c r="M159"/>
      <c r="N159" s="2328"/>
    </row>
    <row r="160" spans="1:14" ht="14.1" customHeight="1">
      <c r="A160" s="2344"/>
      <c r="B160" s="940"/>
      <c r="C160" s="941"/>
      <c r="D160"/>
      <c r="E160"/>
      <c r="F160"/>
      <c r="G160" s="1112"/>
      <c r="H160"/>
      <c r="I160" s="1130"/>
      <c r="J160"/>
      <c r="K160"/>
      <c r="L160"/>
      <c r="M160"/>
      <c r="N160" s="2328"/>
    </row>
    <row r="161" spans="1:14" ht="14.1" customHeight="1">
      <c r="A161" s="2344"/>
      <c r="B161" s="940"/>
      <c r="C161" s="941"/>
      <c r="D161"/>
      <c r="E161"/>
      <c r="F161"/>
      <c r="G161" s="1112"/>
      <c r="H161"/>
      <c r="I161" s="1130"/>
      <c r="J161"/>
      <c r="K161"/>
      <c r="L161"/>
      <c r="M161"/>
      <c r="N161" s="2328"/>
    </row>
    <row r="162" spans="1:14" ht="14.1" customHeight="1">
      <c r="A162" s="2344"/>
      <c r="B162" s="940"/>
      <c r="C162" s="941"/>
      <c r="D162"/>
      <c r="E162"/>
      <c r="F162"/>
      <c r="G162" s="1112"/>
      <c r="H162"/>
      <c r="I162" s="1130"/>
      <c r="J162"/>
      <c r="K162"/>
      <c r="L162"/>
      <c r="M162"/>
      <c r="N162" s="2328"/>
    </row>
    <row r="163" spans="1:14" ht="14.1" customHeight="1">
      <c r="A163" s="2344"/>
      <c r="B163" s="944"/>
      <c r="C163" s="945"/>
      <c r="D163"/>
      <c r="E163"/>
      <c r="F163"/>
      <c r="G163" s="1112"/>
      <c r="H163"/>
      <c r="I163" s="1130"/>
      <c r="J163"/>
      <c r="K163"/>
      <c r="L163"/>
      <c r="M163"/>
      <c r="N163" s="2328"/>
    </row>
    <row r="164" spans="1:14" ht="14.1" customHeight="1">
      <c r="A164" s="2344"/>
      <c r="B164" s="944"/>
      <c r="C164" s="945"/>
      <c r="D164"/>
      <c r="E164"/>
      <c r="F164"/>
      <c r="G164" s="1112"/>
      <c r="H164"/>
      <c r="I164" s="1130"/>
      <c r="J164"/>
      <c r="K164"/>
      <c r="L164"/>
      <c r="M164"/>
      <c r="N164" s="2328"/>
    </row>
    <row r="165" spans="1:14" ht="14.1" customHeight="1">
      <c r="A165" s="2344"/>
      <c r="B165" s="944"/>
      <c r="C165" s="945"/>
      <c r="D165"/>
      <c r="E165"/>
      <c r="F165"/>
      <c r="G165" s="1112"/>
      <c r="H165"/>
      <c r="I165" s="1130"/>
      <c r="J165"/>
      <c r="K165"/>
      <c r="L165"/>
      <c r="M165"/>
      <c r="N165" s="2315"/>
    </row>
    <row r="166" spans="1:14" ht="14.1" customHeight="1" thickBot="1">
      <c r="A166" s="2345"/>
      <c r="B166" s="2352" t="s">
        <v>1046</v>
      </c>
      <c r="C166" s="2353"/>
      <c r="D166" s="2353"/>
      <c r="E166" s="2353"/>
      <c r="F166" s="2353"/>
      <c r="G166" s="2354"/>
      <c r="H166" s="947"/>
      <c r="I166" s="2352" t="s">
        <v>1047</v>
      </c>
      <c r="J166" s="2353"/>
      <c r="K166" s="2353"/>
      <c r="L166" s="2353"/>
      <c r="M166" s="2353"/>
      <c r="N166" s="2355"/>
    </row>
    <row r="167" spans="1:14" s="1339" customFormat="1" ht="16.899999999999999" customHeight="1" thickTop="1" thickBot="1">
      <c r="A167" s="2329" t="s">
        <v>130</v>
      </c>
      <c r="B167" s="2340" t="s">
        <v>642</v>
      </c>
      <c r="C167" s="2340"/>
      <c r="D167" s="2357" t="s">
        <v>207</v>
      </c>
      <c r="E167" s="2357"/>
      <c r="F167" s="2357"/>
      <c r="G167" s="2357"/>
      <c r="H167" s="2357"/>
      <c r="I167" s="2357"/>
      <c r="J167" s="2357"/>
      <c r="K167" s="2357"/>
      <c r="L167" s="2357"/>
      <c r="M167" s="2357"/>
      <c r="N167" s="2358"/>
    </row>
    <row r="168" spans="1:14" ht="14.1" customHeight="1">
      <c r="A168" s="2343" t="s">
        <v>71</v>
      </c>
      <c r="B168" s="936"/>
      <c r="C168" s="937"/>
      <c r="D168" s="1131"/>
      <c r="E168" s="1131"/>
      <c r="F168" s="1131"/>
      <c r="G168" s="938"/>
      <c r="I168" s="1129"/>
      <c r="J168" s="1131"/>
      <c r="K168" s="1131"/>
      <c r="L168" s="1131"/>
      <c r="M168" s="1131"/>
      <c r="N168" s="2327"/>
    </row>
    <row r="169" spans="1:14" ht="14.1" customHeight="1">
      <c r="A169" s="2344"/>
      <c r="B169" s="940"/>
      <c r="C169" s="941"/>
      <c r="E169"/>
      <c r="F169"/>
      <c r="G169" s="1112"/>
      <c r="H169"/>
      <c r="I169" s="1130"/>
      <c r="J169"/>
      <c r="K169"/>
      <c r="L169"/>
      <c r="M169"/>
      <c r="N169" s="2328"/>
    </row>
    <row r="170" spans="1:14" ht="14.1" customHeight="1">
      <c r="A170" s="2344"/>
      <c r="B170" s="940"/>
      <c r="C170" s="941"/>
      <c r="D170"/>
      <c r="E170"/>
      <c r="F170"/>
      <c r="G170" s="1112"/>
      <c r="H170"/>
      <c r="I170" s="1130"/>
      <c r="J170"/>
      <c r="K170"/>
      <c r="L170"/>
      <c r="M170"/>
      <c r="N170" s="2328"/>
    </row>
    <row r="171" spans="1:14" ht="14.1" customHeight="1">
      <c r="A171" s="2344"/>
      <c r="B171" s="940"/>
      <c r="C171" s="941"/>
      <c r="D171"/>
      <c r="E171"/>
      <c r="F171"/>
      <c r="G171" s="1112"/>
      <c r="H171"/>
      <c r="I171" s="1130"/>
      <c r="J171"/>
      <c r="K171"/>
      <c r="L171"/>
      <c r="M171"/>
      <c r="N171" s="2328"/>
    </row>
    <row r="172" spans="1:14" ht="14.1" customHeight="1">
      <c r="A172" s="2344"/>
      <c r="B172" s="940"/>
      <c r="C172" s="941"/>
      <c r="D172"/>
      <c r="E172"/>
      <c r="F172"/>
      <c r="G172" s="1112"/>
      <c r="H172"/>
      <c r="I172" s="1130"/>
      <c r="J172"/>
      <c r="K172"/>
      <c r="L172"/>
      <c r="M172"/>
      <c r="N172" s="2328"/>
    </row>
    <row r="173" spans="1:14" ht="14.1" customHeight="1">
      <c r="A173" s="2344"/>
      <c r="B173" s="944"/>
      <c r="C173" s="945"/>
      <c r="D173"/>
      <c r="E173"/>
      <c r="F173"/>
      <c r="G173" s="1112"/>
      <c r="H173"/>
      <c r="I173" s="1130"/>
      <c r="J173"/>
      <c r="K173"/>
      <c r="L173"/>
      <c r="M173"/>
      <c r="N173" s="2328"/>
    </row>
    <row r="174" spans="1:14" ht="14.1" customHeight="1">
      <c r="A174" s="2344"/>
      <c r="B174" s="944"/>
      <c r="C174" s="945"/>
      <c r="D174"/>
      <c r="E174"/>
      <c r="F174"/>
      <c r="G174" s="1112"/>
      <c r="H174"/>
      <c r="I174" s="1130"/>
      <c r="J174"/>
      <c r="K174"/>
      <c r="L174"/>
      <c r="M174"/>
      <c r="N174" s="2328"/>
    </row>
    <row r="175" spans="1:14" ht="14.1" customHeight="1">
      <c r="A175" s="2344"/>
      <c r="B175" s="944"/>
      <c r="C175" s="945"/>
      <c r="D175"/>
      <c r="E175"/>
      <c r="F175"/>
      <c r="G175" s="1112"/>
      <c r="H175"/>
      <c r="I175" s="1130"/>
      <c r="J175"/>
      <c r="K175"/>
      <c r="L175"/>
      <c r="M175"/>
      <c r="N175" s="2315"/>
    </row>
    <row r="176" spans="1:14" ht="14.1" customHeight="1" thickBot="1">
      <c r="A176" s="2345"/>
      <c r="B176" s="2352" t="s">
        <v>1082</v>
      </c>
      <c r="C176" s="2353"/>
      <c r="D176" s="2353"/>
      <c r="E176" s="2353"/>
      <c r="F176" s="2353"/>
      <c r="G176" s="2354"/>
      <c r="H176" s="947"/>
      <c r="I176" s="2352" t="s">
        <v>1081</v>
      </c>
      <c r="J176" s="2353"/>
      <c r="K176" s="2353"/>
      <c r="L176" s="2353"/>
      <c r="M176" s="2353"/>
      <c r="N176" s="2355"/>
    </row>
    <row r="177" spans="1:14" s="1339" customFormat="1" ht="26.25" customHeight="1" thickTop="1" thickBot="1">
      <c r="A177" s="2329" t="s">
        <v>130</v>
      </c>
      <c r="B177" s="1342" t="s">
        <v>642</v>
      </c>
      <c r="C177" s="1343"/>
      <c r="D177" s="2341" t="s">
        <v>169</v>
      </c>
      <c r="E177" s="2341"/>
      <c r="F177" s="2341"/>
      <c r="G177" s="2341"/>
      <c r="H177" s="2341"/>
      <c r="I177" s="2341"/>
      <c r="J177" s="2341"/>
      <c r="K177" s="2341"/>
      <c r="L177" s="2341"/>
      <c r="M177" s="2341"/>
      <c r="N177" s="2342"/>
    </row>
    <row r="178" spans="1:14" ht="14.1" customHeight="1">
      <c r="A178" s="2343" t="s">
        <v>78</v>
      </c>
      <c r="B178" s="936"/>
      <c r="C178" s="937"/>
      <c r="D178" s="1131"/>
      <c r="E178" s="1131"/>
      <c r="F178" s="1131"/>
      <c r="G178" s="938"/>
      <c r="I178" s="1129"/>
      <c r="J178" s="1131"/>
      <c r="K178" s="1131"/>
      <c r="L178" s="1131"/>
      <c r="M178" s="1131"/>
      <c r="N178" s="2327"/>
    </row>
    <row r="179" spans="1:14" ht="14.1" customHeight="1">
      <c r="A179" s="2344"/>
      <c r="B179" s="940"/>
      <c r="C179" s="941"/>
      <c r="E179"/>
      <c r="F179"/>
      <c r="G179" s="1112"/>
      <c r="H179"/>
      <c r="I179" s="1130"/>
      <c r="J179"/>
      <c r="K179"/>
      <c r="L179"/>
      <c r="M179"/>
      <c r="N179" s="2328"/>
    </row>
    <row r="180" spans="1:14" ht="14.1" customHeight="1">
      <c r="A180" s="2344"/>
      <c r="B180" s="940"/>
      <c r="C180" s="941"/>
      <c r="D180"/>
      <c r="E180"/>
      <c r="F180"/>
      <c r="G180" s="1112"/>
      <c r="H180"/>
      <c r="I180" s="1130"/>
      <c r="J180"/>
      <c r="K180"/>
      <c r="L180"/>
      <c r="M180"/>
      <c r="N180" s="2328"/>
    </row>
    <row r="181" spans="1:14" ht="14.1" customHeight="1">
      <c r="A181" s="2344"/>
      <c r="B181" s="940"/>
      <c r="C181" s="941"/>
      <c r="D181"/>
      <c r="E181"/>
      <c r="F181"/>
      <c r="G181" s="1112"/>
      <c r="H181"/>
      <c r="I181" s="1130"/>
      <c r="J181"/>
      <c r="K181"/>
      <c r="L181"/>
      <c r="M181"/>
      <c r="N181" s="2328"/>
    </row>
    <row r="182" spans="1:14" ht="14.1" customHeight="1">
      <c r="A182" s="2344"/>
      <c r="B182" s="940"/>
      <c r="C182" s="941"/>
      <c r="D182"/>
      <c r="E182"/>
      <c r="F182"/>
      <c r="G182" s="1112"/>
      <c r="H182"/>
      <c r="I182" s="1130"/>
      <c r="J182"/>
      <c r="K182"/>
      <c r="L182"/>
      <c r="M182"/>
      <c r="N182" s="2328"/>
    </row>
    <row r="183" spans="1:14" ht="14.1" customHeight="1">
      <c r="A183" s="2344"/>
      <c r="B183" s="944"/>
      <c r="C183" s="945"/>
      <c r="D183"/>
      <c r="E183"/>
      <c r="F183"/>
      <c r="G183" s="1112"/>
      <c r="H183"/>
      <c r="I183" s="1130"/>
      <c r="J183"/>
      <c r="K183"/>
      <c r="L183"/>
      <c r="M183"/>
      <c r="N183" s="2328"/>
    </row>
    <row r="184" spans="1:14" ht="14.1" customHeight="1">
      <c r="A184" s="2344"/>
      <c r="B184" s="944"/>
      <c r="C184" s="945"/>
      <c r="D184"/>
      <c r="E184"/>
      <c r="F184"/>
      <c r="G184" s="1112"/>
      <c r="H184"/>
      <c r="I184" s="1130"/>
      <c r="J184"/>
      <c r="K184"/>
      <c r="L184"/>
      <c r="M184"/>
      <c r="N184" s="2328"/>
    </row>
    <row r="185" spans="1:14" ht="14.1" customHeight="1">
      <c r="A185" s="2344"/>
      <c r="B185" s="944"/>
      <c r="C185" s="945"/>
      <c r="D185"/>
      <c r="E185"/>
      <c r="F185"/>
      <c r="G185" s="1112"/>
      <c r="H185"/>
      <c r="I185" s="1130"/>
      <c r="J185"/>
      <c r="K185"/>
      <c r="L185"/>
      <c r="M185"/>
      <c r="N185" s="2315"/>
    </row>
    <row r="186" spans="1:14" ht="14.1" customHeight="1" thickBot="1">
      <c r="A186" s="2345"/>
      <c r="B186" s="2346" t="s">
        <v>1048</v>
      </c>
      <c r="C186" s="2347"/>
      <c r="D186" s="2347"/>
      <c r="E186" s="2347"/>
      <c r="F186" s="2347"/>
      <c r="G186" s="2348"/>
      <c r="H186" s="947"/>
      <c r="I186" s="2352" t="s">
        <v>1081</v>
      </c>
      <c r="J186" s="2353"/>
      <c r="K186" s="2353"/>
      <c r="L186" s="2353"/>
      <c r="M186" s="2353"/>
      <c r="N186" s="2355"/>
    </row>
    <row r="187" spans="1:14" s="1339" customFormat="1" ht="24.75" customHeight="1" thickTop="1" thickBot="1">
      <c r="A187" s="2329" t="s">
        <v>130</v>
      </c>
      <c r="B187" s="2428" t="s">
        <v>642</v>
      </c>
      <c r="C187" s="2429"/>
      <c r="D187" s="2341" t="s">
        <v>227</v>
      </c>
      <c r="E187" s="2341"/>
      <c r="F187" s="2341"/>
      <c r="G187" s="2341"/>
      <c r="H187" s="2341"/>
      <c r="I187" s="2341"/>
      <c r="J187" s="2341"/>
      <c r="K187" s="2341"/>
      <c r="L187" s="2341"/>
      <c r="M187" s="2341"/>
      <c r="N187" s="2342"/>
    </row>
    <row r="188" spans="1:14" ht="14.1" customHeight="1">
      <c r="A188" s="2343" t="s">
        <v>94</v>
      </c>
      <c r="B188" s="936"/>
      <c r="C188" s="937"/>
      <c r="D188" s="1131"/>
      <c r="E188" s="1131"/>
      <c r="F188" s="1131"/>
      <c r="G188" s="938"/>
      <c r="I188" s="1129"/>
      <c r="J188" s="1131"/>
      <c r="K188" s="1131"/>
      <c r="L188" s="1131"/>
      <c r="M188" s="1131"/>
      <c r="N188" s="2327"/>
    </row>
    <row r="189" spans="1:14" ht="14.1" customHeight="1">
      <c r="A189" s="2343"/>
      <c r="B189" s="940"/>
      <c r="C189" s="941"/>
      <c r="E189"/>
      <c r="F189"/>
      <c r="G189" s="1112"/>
      <c r="H189"/>
      <c r="I189" s="1130"/>
      <c r="J189"/>
      <c r="K189"/>
      <c r="L189"/>
      <c r="M189"/>
      <c r="N189" s="2328"/>
    </row>
    <row r="190" spans="1:14" ht="14.1" customHeight="1">
      <c r="A190" s="2343"/>
      <c r="B190" s="940"/>
      <c r="C190" s="941"/>
      <c r="D190"/>
      <c r="E190"/>
      <c r="F190"/>
      <c r="G190" s="1112"/>
      <c r="H190"/>
      <c r="I190" s="1130"/>
      <c r="J190"/>
      <c r="K190"/>
      <c r="L190"/>
      <c r="M190"/>
      <c r="N190" s="2328"/>
    </row>
    <row r="191" spans="1:14" ht="14.1" customHeight="1">
      <c r="A191" s="2343"/>
      <c r="B191" s="940"/>
      <c r="C191" s="941"/>
      <c r="D191"/>
      <c r="E191"/>
      <c r="F191"/>
      <c r="G191" s="1112"/>
      <c r="H191"/>
      <c r="I191" s="1130"/>
      <c r="J191"/>
      <c r="K191"/>
      <c r="L191"/>
      <c r="M191"/>
      <c r="N191" s="2328"/>
    </row>
    <row r="192" spans="1:14" ht="14.1" customHeight="1">
      <c r="A192" s="2343"/>
      <c r="B192" s="940"/>
      <c r="C192" s="941"/>
      <c r="D192"/>
      <c r="E192"/>
      <c r="F192"/>
      <c r="G192" s="1112"/>
      <c r="H192"/>
      <c r="I192" s="1130"/>
      <c r="J192"/>
      <c r="K192"/>
      <c r="L192"/>
      <c r="M192"/>
      <c r="N192" s="2328"/>
    </row>
    <row r="193" spans="1:14" ht="14.1" customHeight="1">
      <c r="A193" s="2343"/>
      <c r="B193" s="944"/>
      <c r="C193" s="945"/>
      <c r="D193"/>
      <c r="E193"/>
      <c r="F193"/>
      <c r="G193" s="1112"/>
      <c r="H193"/>
      <c r="I193" s="1130"/>
      <c r="J193"/>
      <c r="K193"/>
      <c r="L193"/>
      <c r="M193"/>
      <c r="N193" s="2328"/>
    </row>
    <row r="194" spans="1:14" ht="14.1" customHeight="1">
      <c r="A194" s="2343"/>
      <c r="B194" s="944"/>
      <c r="C194" s="945"/>
      <c r="D194"/>
      <c r="E194"/>
      <c r="F194"/>
      <c r="G194" s="1112"/>
      <c r="H194"/>
      <c r="I194" s="1130"/>
      <c r="J194"/>
      <c r="K194"/>
      <c r="L194"/>
      <c r="M194"/>
      <c r="N194" s="2328"/>
    </row>
    <row r="195" spans="1:14" ht="14.1" customHeight="1">
      <c r="A195" s="2343"/>
      <c r="B195" s="944"/>
      <c r="C195" s="945"/>
      <c r="D195"/>
      <c r="E195"/>
      <c r="F195"/>
      <c r="G195" s="1112"/>
      <c r="H195"/>
      <c r="I195" s="1130"/>
      <c r="J195"/>
      <c r="K195"/>
      <c r="L195"/>
      <c r="M195"/>
      <c r="N195" s="2315"/>
    </row>
    <row r="196" spans="1:14" ht="14.1" customHeight="1" thickBot="1">
      <c r="A196" s="2430"/>
      <c r="B196" s="2346" t="s">
        <v>1083</v>
      </c>
      <c r="C196" s="2347"/>
      <c r="D196" s="2347"/>
      <c r="E196" s="2347"/>
      <c r="F196" s="2347"/>
      <c r="G196" s="2348"/>
      <c r="H196" s="947"/>
      <c r="I196" s="2346" t="s">
        <v>1083</v>
      </c>
      <c r="J196" s="2347"/>
      <c r="K196" s="2347"/>
      <c r="L196" s="2347"/>
      <c r="M196" s="2347"/>
      <c r="N196" s="2356"/>
    </row>
    <row r="197" spans="1:14" ht="25.5" customHeight="1" thickTop="1" thickBot="1">
      <c r="A197" s="2329" t="s">
        <v>130</v>
      </c>
      <c r="B197" s="2340" t="s">
        <v>642</v>
      </c>
      <c r="C197" s="2340"/>
      <c r="D197" s="2341" t="s">
        <v>1062</v>
      </c>
      <c r="E197" s="2341"/>
      <c r="F197" s="2341"/>
      <c r="G197" s="2341"/>
      <c r="H197" s="2341"/>
      <c r="I197" s="2341"/>
      <c r="J197" s="2341"/>
      <c r="K197" s="2341"/>
      <c r="L197" s="2341"/>
      <c r="M197" s="2341"/>
      <c r="N197" s="2342"/>
    </row>
    <row r="198" spans="1:14" ht="14.1" customHeight="1">
      <c r="A198" s="2343" t="s">
        <v>1061</v>
      </c>
      <c r="B198" s="936"/>
      <c r="C198" s="937"/>
      <c r="D198" s="1131"/>
      <c r="E198" s="1131"/>
      <c r="F198" s="1131"/>
      <c r="G198" s="938"/>
      <c r="I198" s="1129"/>
      <c r="J198" s="1131"/>
      <c r="K198" s="1131"/>
      <c r="L198" s="1131"/>
      <c r="M198" s="1131"/>
      <c r="N198" s="2327"/>
    </row>
    <row r="199" spans="1:14" ht="14.1" customHeight="1">
      <c r="A199" s="2344"/>
      <c r="B199" s="940"/>
      <c r="C199" s="941"/>
      <c r="E199"/>
      <c r="F199"/>
      <c r="G199" s="1112"/>
      <c r="H199"/>
      <c r="I199" s="1130"/>
      <c r="J199"/>
      <c r="K199"/>
      <c r="L199"/>
      <c r="M199"/>
      <c r="N199" s="2328"/>
    </row>
    <row r="200" spans="1:14" ht="14.1" customHeight="1">
      <c r="A200" s="2344"/>
      <c r="B200" s="940"/>
      <c r="C200" s="941"/>
      <c r="D200"/>
      <c r="E200"/>
      <c r="F200"/>
      <c r="G200" s="1112"/>
      <c r="H200"/>
      <c r="I200" s="1130"/>
      <c r="J200"/>
      <c r="K200"/>
      <c r="L200"/>
      <c r="M200"/>
      <c r="N200" s="2328"/>
    </row>
    <row r="201" spans="1:14" ht="14.1" customHeight="1">
      <c r="A201" s="2344"/>
      <c r="B201" s="940"/>
      <c r="C201" s="941"/>
      <c r="D201"/>
      <c r="E201"/>
      <c r="F201"/>
      <c r="G201" s="1112"/>
      <c r="H201"/>
      <c r="I201" s="1130"/>
      <c r="J201"/>
      <c r="K201"/>
      <c r="L201"/>
      <c r="M201"/>
      <c r="N201" s="2328"/>
    </row>
    <row r="202" spans="1:14" ht="14.1" customHeight="1">
      <c r="A202" s="2344"/>
      <c r="B202" s="940"/>
      <c r="C202" s="941"/>
      <c r="D202"/>
      <c r="E202"/>
      <c r="F202"/>
      <c r="G202" s="1112"/>
      <c r="H202"/>
      <c r="I202" s="1130"/>
      <c r="J202"/>
      <c r="K202"/>
      <c r="L202"/>
      <c r="M202"/>
      <c r="N202" s="2328"/>
    </row>
    <row r="203" spans="1:14" ht="14.1" customHeight="1">
      <c r="A203" s="2344"/>
      <c r="B203" s="944"/>
      <c r="C203" s="945"/>
      <c r="D203"/>
      <c r="E203"/>
      <c r="F203"/>
      <c r="G203" s="1112"/>
      <c r="H203"/>
      <c r="I203" s="1130"/>
      <c r="J203"/>
      <c r="K203"/>
      <c r="L203"/>
      <c r="M203"/>
      <c r="N203" s="2328"/>
    </row>
    <row r="204" spans="1:14" ht="14.1" customHeight="1">
      <c r="A204" s="2344"/>
      <c r="B204" s="944"/>
      <c r="C204" s="945"/>
      <c r="D204"/>
      <c r="E204"/>
      <c r="F204"/>
      <c r="G204" s="1112"/>
      <c r="H204"/>
      <c r="I204" s="1130"/>
      <c r="J204"/>
      <c r="K204"/>
      <c r="L204"/>
      <c r="M204"/>
      <c r="N204" s="2328"/>
    </row>
    <row r="205" spans="1:14" ht="14.1" customHeight="1">
      <c r="A205" s="2344"/>
      <c r="B205" s="944"/>
      <c r="C205" s="945"/>
      <c r="D205"/>
      <c r="E205"/>
      <c r="F205"/>
      <c r="G205" s="1112"/>
      <c r="H205"/>
      <c r="I205" s="1130"/>
      <c r="J205"/>
      <c r="K205"/>
      <c r="L205"/>
      <c r="M205"/>
      <c r="N205" s="2315"/>
    </row>
    <row r="206" spans="1:14" ht="14.1" customHeight="1" thickBot="1">
      <c r="A206" s="2345"/>
      <c r="B206" s="2346" t="s">
        <v>1124</v>
      </c>
      <c r="C206" s="2347"/>
      <c r="D206" s="2347"/>
      <c r="E206" s="2347"/>
      <c r="F206" s="2347"/>
      <c r="G206" s="2348"/>
      <c r="H206" s="947"/>
      <c r="I206" s="2349" t="s">
        <v>1125</v>
      </c>
      <c r="J206" s="2350"/>
      <c r="K206" s="2350"/>
      <c r="L206" s="2350"/>
      <c r="M206" s="2350"/>
      <c r="N206" s="2351"/>
    </row>
    <row r="207" spans="1:14" s="1339" customFormat="1" ht="16.899999999999999" customHeight="1" thickTop="1" thickBot="1">
      <c r="A207" s="2329" t="s">
        <v>130</v>
      </c>
      <c r="B207" s="2340" t="s">
        <v>642</v>
      </c>
      <c r="C207" s="2340"/>
      <c r="D207" s="2341" t="s">
        <v>198</v>
      </c>
      <c r="E207" s="2341"/>
      <c r="F207" s="2341"/>
      <c r="G207" s="2341"/>
      <c r="H207" s="2341"/>
      <c r="I207" s="2341"/>
      <c r="J207" s="2341"/>
      <c r="K207" s="2341"/>
      <c r="L207" s="2341"/>
      <c r="M207" s="2341"/>
      <c r="N207" s="2342"/>
    </row>
    <row r="208" spans="1:14" ht="14.1" customHeight="1">
      <c r="A208" s="2343" t="s">
        <v>109</v>
      </c>
      <c r="B208" s="936"/>
      <c r="C208" s="937"/>
      <c r="D208" s="1131"/>
      <c r="E208" s="1131"/>
      <c r="F208" s="1131"/>
      <c r="G208" s="938"/>
      <c r="I208" s="1129"/>
      <c r="J208" s="1131"/>
      <c r="K208" s="1131"/>
      <c r="L208" s="1131"/>
      <c r="M208" s="1131"/>
      <c r="N208" s="2327"/>
    </row>
    <row r="209" spans="1:14" ht="14.1" customHeight="1">
      <c r="A209" s="2344"/>
      <c r="B209" s="940"/>
      <c r="C209" s="941"/>
      <c r="E209"/>
      <c r="F209"/>
      <c r="G209" s="1112"/>
      <c r="H209"/>
      <c r="I209" s="1130"/>
      <c r="J209"/>
      <c r="K209"/>
      <c r="L209"/>
      <c r="M209"/>
      <c r="N209" s="2328"/>
    </row>
    <row r="210" spans="1:14" ht="14.1" customHeight="1">
      <c r="A210" s="2344"/>
      <c r="B210" s="940"/>
      <c r="C210" s="941"/>
      <c r="D210"/>
      <c r="E210"/>
      <c r="F210"/>
      <c r="G210" s="1112"/>
      <c r="H210"/>
      <c r="I210" s="1130"/>
      <c r="J210"/>
      <c r="K210"/>
      <c r="L210"/>
      <c r="M210"/>
      <c r="N210" s="2328"/>
    </row>
    <row r="211" spans="1:14" ht="14.1" customHeight="1">
      <c r="A211" s="2344"/>
      <c r="B211" s="940"/>
      <c r="C211" s="941"/>
      <c r="D211"/>
      <c r="E211"/>
      <c r="F211"/>
      <c r="G211" s="1112"/>
      <c r="H211"/>
      <c r="I211" s="1130"/>
      <c r="J211"/>
      <c r="K211"/>
      <c r="L211"/>
      <c r="M211"/>
      <c r="N211" s="2328"/>
    </row>
    <row r="212" spans="1:14" ht="14.1" customHeight="1">
      <c r="A212" s="2344"/>
      <c r="B212" s="940"/>
      <c r="C212" s="941"/>
      <c r="D212"/>
      <c r="E212"/>
      <c r="F212"/>
      <c r="G212" s="1112"/>
      <c r="H212"/>
      <c r="I212" s="1130"/>
      <c r="J212"/>
      <c r="K212"/>
      <c r="L212"/>
      <c r="M212"/>
      <c r="N212" s="2328"/>
    </row>
    <row r="213" spans="1:14" ht="14.1" customHeight="1">
      <c r="A213" s="2344"/>
      <c r="B213" s="944"/>
      <c r="C213" s="945"/>
      <c r="D213"/>
      <c r="E213"/>
      <c r="F213"/>
      <c r="G213" s="1112"/>
      <c r="H213"/>
      <c r="I213" s="1130"/>
      <c r="J213"/>
      <c r="K213"/>
      <c r="L213"/>
      <c r="M213"/>
      <c r="N213" s="2328"/>
    </row>
    <row r="214" spans="1:14" ht="14.1" customHeight="1">
      <c r="A214" s="2344"/>
      <c r="B214" s="944"/>
      <c r="C214" s="945"/>
      <c r="D214"/>
      <c r="E214"/>
      <c r="F214"/>
      <c r="G214" s="1112"/>
      <c r="H214"/>
      <c r="I214" s="1130"/>
      <c r="J214"/>
      <c r="K214"/>
      <c r="L214"/>
      <c r="M214"/>
      <c r="N214" s="2328"/>
    </row>
    <row r="215" spans="1:14" ht="14.1" customHeight="1">
      <c r="A215" s="2344"/>
      <c r="B215" s="944"/>
      <c r="C215" s="945"/>
      <c r="D215"/>
      <c r="E215"/>
      <c r="F215"/>
      <c r="G215" s="1112"/>
      <c r="H215"/>
      <c r="I215" s="1130"/>
      <c r="J215"/>
      <c r="K215"/>
      <c r="L215"/>
      <c r="M215"/>
      <c r="N215" s="2315"/>
    </row>
    <row r="216" spans="1:14" ht="14.1" customHeight="1" thickBot="1">
      <c r="A216" s="2345"/>
      <c r="B216" s="2346" t="s">
        <v>1050</v>
      </c>
      <c r="C216" s="2347"/>
      <c r="D216" s="2347"/>
      <c r="E216" s="2347"/>
      <c r="F216" s="2347"/>
      <c r="G216" s="2348"/>
      <c r="H216" s="947"/>
      <c r="I216" s="2346" t="s">
        <v>1050</v>
      </c>
      <c r="J216" s="2347"/>
      <c r="K216" s="2347"/>
      <c r="L216" s="2347"/>
      <c r="M216" s="2347"/>
      <c r="N216" s="2356"/>
    </row>
    <row r="217" spans="1:14" s="1339" customFormat="1" ht="28.5" customHeight="1" thickTop="1" thickBot="1">
      <c r="A217" s="2329" t="s">
        <v>130</v>
      </c>
      <c r="B217" s="2340" t="s">
        <v>642</v>
      </c>
      <c r="C217" s="2340"/>
      <c r="D217" s="2341" t="s">
        <v>210</v>
      </c>
      <c r="E217" s="2341"/>
      <c r="F217" s="2341"/>
      <c r="G217" s="2341"/>
      <c r="H217" s="2341"/>
      <c r="I217" s="2341"/>
      <c r="J217" s="2341"/>
      <c r="K217" s="2341"/>
      <c r="L217" s="2341"/>
      <c r="M217" s="2341"/>
      <c r="N217" s="2342"/>
    </row>
    <row r="218" spans="1:14" ht="14.1" customHeight="1">
      <c r="A218" s="2343" t="s">
        <v>74</v>
      </c>
      <c r="B218" s="936"/>
      <c r="C218" s="937"/>
      <c r="D218" s="1131"/>
      <c r="E218" s="1131"/>
      <c r="F218" s="1131"/>
      <c r="G218" s="938"/>
      <c r="I218" s="1129"/>
      <c r="J218" s="1131"/>
      <c r="K218" s="1131"/>
      <c r="L218" s="1131"/>
      <c r="M218" s="1131"/>
      <c r="N218" s="2327"/>
    </row>
    <row r="219" spans="1:14" ht="14.1" customHeight="1">
      <c r="A219" s="2344"/>
      <c r="B219" s="940"/>
      <c r="C219" s="941"/>
      <c r="E219"/>
      <c r="F219"/>
      <c r="G219" s="1112"/>
      <c r="H219"/>
      <c r="I219" s="1130"/>
      <c r="J219"/>
      <c r="K219"/>
      <c r="L219"/>
      <c r="M219"/>
      <c r="N219" s="2328"/>
    </row>
    <row r="220" spans="1:14" ht="14.1" customHeight="1">
      <c r="A220" s="2344"/>
      <c r="B220" s="940"/>
      <c r="C220" s="941"/>
      <c r="D220"/>
      <c r="E220"/>
      <c r="F220"/>
      <c r="G220" s="1112"/>
      <c r="H220"/>
      <c r="I220" s="1130"/>
      <c r="J220"/>
      <c r="K220"/>
      <c r="L220"/>
      <c r="M220"/>
      <c r="N220" s="2328"/>
    </row>
    <row r="221" spans="1:14" ht="14.1" customHeight="1">
      <c r="A221" s="2344"/>
      <c r="B221" s="940"/>
      <c r="C221" s="941"/>
      <c r="D221"/>
      <c r="E221"/>
      <c r="F221"/>
      <c r="G221" s="1112"/>
      <c r="H221"/>
      <c r="I221" s="1130"/>
      <c r="J221"/>
      <c r="K221"/>
      <c r="L221"/>
      <c r="M221"/>
      <c r="N221" s="2328"/>
    </row>
    <row r="222" spans="1:14" ht="14.1" customHeight="1">
      <c r="A222" s="2344"/>
      <c r="B222" s="940"/>
      <c r="C222" s="941"/>
      <c r="D222"/>
      <c r="E222"/>
      <c r="F222"/>
      <c r="G222" s="1112"/>
      <c r="H222"/>
      <c r="I222" s="1130"/>
      <c r="J222"/>
      <c r="K222"/>
      <c r="L222"/>
      <c r="M222"/>
      <c r="N222" s="2328"/>
    </row>
    <row r="223" spans="1:14" ht="14.1" customHeight="1">
      <c r="A223" s="2344"/>
      <c r="B223" s="944"/>
      <c r="C223" s="945"/>
      <c r="D223"/>
      <c r="E223"/>
      <c r="F223"/>
      <c r="G223" s="1112"/>
      <c r="H223"/>
      <c r="I223" s="1130"/>
      <c r="J223"/>
      <c r="K223"/>
      <c r="L223"/>
      <c r="M223"/>
      <c r="N223" s="2328"/>
    </row>
    <row r="224" spans="1:14" ht="14.1" customHeight="1">
      <c r="A224" s="2344"/>
      <c r="B224" s="944"/>
      <c r="C224" s="945"/>
      <c r="D224"/>
      <c r="E224"/>
      <c r="F224"/>
      <c r="G224" s="1112"/>
      <c r="H224"/>
      <c r="I224" s="1130"/>
      <c r="J224"/>
      <c r="K224"/>
      <c r="L224"/>
      <c r="M224"/>
      <c r="N224" s="2328"/>
    </row>
    <row r="225" spans="1:14" ht="14.1" customHeight="1">
      <c r="A225" s="2344"/>
      <c r="B225" s="944"/>
      <c r="C225" s="945"/>
      <c r="D225"/>
      <c r="E225"/>
      <c r="F225"/>
      <c r="G225" s="1112"/>
      <c r="H225"/>
      <c r="I225" s="1130"/>
      <c r="J225"/>
      <c r="K225"/>
      <c r="L225"/>
      <c r="M225"/>
      <c r="N225" s="2315"/>
    </row>
    <row r="226" spans="1:14" ht="14.1" customHeight="1" thickBot="1">
      <c r="A226" s="2345"/>
      <c r="B226" s="2352" t="s">
        <v>1049</v>
      </c>
      <c r="C226" s="2353"/>
      <c r="D226" s="2353"/>
      <c r="E226" s="2353"/>
      <c r="F226" s="2353"/>
      <c r="G226" s="2354"/>
      <c r="H226" s="947"/>
      <c r="I226" s="2352" t="s">
        <v>1122</v>
      </c>
      <c r="J226" s="2353"/>
      <c r="K226" s="2353"/>
      <c r="L226" s="2353"/>
      <c r="M226" s="2353"/>
      <c r="N226" s="2355"/>
    </row>
    <row r="227" spans="1:14" s="1339" customFormat="1" ht="16.899999999999999" customHeight="1" thickTop="1" thickBot="1">
      <c r="A227" s="2329" t="s">
        <v>130</v>
      </c>
      <c r="B227" s="2340" t="s">
        <v>642</v>
      </c>
      <c r="C227" s="2340"/>
      <c r="D227" s="2341" t="s">
        <v>464</v>
      </c>
      <c r="E227" s="2341"/>
      <c r="F227" s="2341"/>
      <c r="G227" s="2341"/>
      <c r="H227" s="2341"/>
      <c r="I227" s="2341"/>
      <c r="J227" s="2341"/>
      <c r="K227" s="2341"/>
      <c r="L227" s="2341"/>
      <c r="M227" s="2341"/>
      <c r="N227" s="2342"/>
    </row>
    <row r="228" spans="1:14" ht="14.1" customHeight="1">
      <c r="A228" s="2343" t="s">
        <v>431</v>
      </c>
      <c r="B228" s="936"/>
      <c r="C228" s="937"/>
      <c r="D228" s="1131"/>
      <c r="E228" s="1131"/>
      <c r="F228" s="1131"/>
      <c r="G228" s="938"/>
      <c r="I228" s="1129"/>
      <c r="J228" s="1131"/>
      <c r="K228" s="1131"/>
      <c r="L228" s="1131"/>
      <c r="M228" s="1131"/>
      <c r="N228" s="2327"/>
    </row>
    <row r="229" spans="1:14" ht="14.1" customHeight="1">
      <c r="A229" s="2344"/>
      <c r="B229" s="940"/>
      <c r="C229" s="941"/>
      <c r="E229"/>
      <c r="F229"/>
      <c r="G229" s="1112"/>
      <c r="H229"/>
      <c r="I229" s="1130"/>
      <c r="J229"/>
      <c r="K229"/>
      <c r="L229"/>
      <c r="M229"/>
      <c r="N229" s="2328"/>
    </row>
    <row r="230" spans="1:14" ht="14.1" customHeight="1">
      <c r="A230" s="2344"/>
      <c r="B230" s="940"/>
      <c r="C230" s="941"/>
      <c r="D230"/>
      <c r="E230"/>
      <c r="F230"/>
      <c r="G230" s="1112"/>
      <c r="H230"/>
      <c r="I230" s="1130"/>
      <c r="J230"/>
      <c r="K230"/>
      <c r="L230"/>
      <c r="M230"/>
      <c r="N230" s="2328"/>
    </row>
    <row r="231" spans="1:14" ht="14.1" customHeight="1">
      <c r="A231" s="2344"/>
      <c r="B231" s="940"/>
      <c r="C231" s="941"/>
      <c r="D231"/>
      <c r="E231"/>
      <c r="F231"/>
      <c r="G231" s="1112"/>
      <c r="H231"/>
      <c r="I231" s="1130"/>
      <c r="J231"/>
      <c r="K231"/>
      <c r="L231"/>
      <c r="M231"/>
      <c r="N231" s="2328"/>
    </row>
    <row r="232" spans="1:14" ht="14.1" customHeight="1">
      <c r="A232" s="2344"/>
      <c r="B232" s="940"/>
      <c r="C232" s="941"/>
      <c r="D232"/>
      <c r="E232"/>
      <c r="F232"/>
      <c r="G232" s="1112"/>
      <c r="H232"/>
      <c r="I232" s="1130"/>
      <c r="J232"/>
      <c r="K232"/>
      <c r="L232"/>
      <c r="M232"/>
      <c r="N232" s="2328"/>
    </row>
    <row r="233" spans="1:14" ht="14.1" customHeight="1">
      <c r="A233" s="2344"/>
      <c r="B233" s="944"/>
      <c r="C233" s="945"/>
      <c r="D233"/>
      <c r="E233"/>
      <c r="F233"/>
      <c r="G233" s="1112"/>
      <c r="H233"/>
      <c r="I233" s="1130"/>
      <c r="J233"/>
      <c r="K233"/>
      <c r="L233"/>
      <c r="M233"/>
      <c r="N233" s="2328"/>
    </row>
    <row r="234" spans="1:14" ht="14.1" customHeight="1">
      <c r="A234" s="2344"/>
      <c r="B234" s="944"/>
      <c r="C234" s="945"/>
      <c r="D234"/>
      <c r="E234"/>
      <c r="F234"/>
      <c r="G234" s="1112"/>
      <c r="H234"/>
      <c r="I234" s="1130"/>
      <c r="J234"/>
      <c r="K234"/>
      <c r="L234"/>
      <c r="M234"/>
      <c r="N234" s="2328"/>
    </row>
    <row r="235" spans="1:14" ht="14.1" customHeight="1">
      <c r="A235" s="2344"/>
      <c r="B235" s="944"/>
      <c r="C235" s="945"/>
      <c r="D235"/>
      <c r="E235"/>
      <c r="F235"/>
      <c r="G235" s="1112"/>
      <c r="H235"/>
      <c r="I235" s="1130"/>
      <c r="J235"/>
      <c r="K235"/>
      <c r="L235"/>
      <c r="M235"/>
      <c r="N235" s="2315"/>
    </row>
    <row r="236" spans="1:14" ht="14.1" customHeight="1" thickBot="1">
      <c r="A236" s="2345"/>
      <c r="B236" s="2352" t="s">
        <v>1084</v>
      </c>
      <c r="C236" s="2353"/>
      <c r="D236" s="2353"/>
      <c r="E236" s="2353"/>
      <c r="F236" s="2353"/>
      <c r="G236" s="2354"/>
      <c r="H236" s="947"/>
      <c r="I236" s="2352" t="s">
        <v>1051</v>
      </c>
      <c r="J236" s="2353"/>
      <c r="K236" s="2353"/>
      <c r="L236" s="2353"/>
      <c r="M236" s="2353"/>
      <c r="N236" s="2355"/>
    </row>
    <row r="237" spans="1:14" s="1339" customFormat="1" ht="27" customHeight="1" thickTop="1" thickBot="1">
      <c r="A237" s="2329" t="s">
        <v>130</v>
      </c>
      <c r="B237" s="2340" t="s">
        <v>642</v>
      </c>
      <c r="C237" s="2340"/>
      <c r="D237" s="2341" t="s">
        <v>466</v>
      </c>
      <c r="E237" s="2341"/>
      <c r="F237" s="2341"/>
      <c r="G237" s="2341"/>
      <c r="H237" s="2341"/>
      <c r="I237" s="2341"/>
      <c r="J237" s="2341"/>
      <c r="K237" s="2341"/>
      <c r="L237" s="2341"/>
      <c r="M237" s="2341"/>
      <c r="N237" s="2342"/>
    </row>
    <row r="238" spans="1:14" ht="14.1" customHeight="1">
      <c r="A238" s="2343" t="s">
        <v>433</v>
      </c>
      <c r="B238" s="936"/>
      <c r="C238" s="937"/>
      <c r="D238" s="1131"/>
      <c r="E238" s="1131"/>
      <c r="F238" s="1131"/>
      <c r="G238" s="938"/>
      <c r="I238" s="1129"/>
      <c r="J238" s="1131"/>
      <c r="K238" s="1131"/>
      <c r="L238" s="1131"/>
      <c r="M238" s="1131"/>
      <c r="N238" s="2327"/>
    </row>
    <row r="239" spans="1:14" ht="14.1" customHeight="1">
      <c r="A239" s="2344"/>
      <c r="B239" s="940"/>
      <c r="C239" s="941"/>
      <c r="E239"/>
      <c r="F239"/>
      <c r="G239" s="1112"/>
      <c r="H239"/>
      <c r="I239" s="1130"/>
      <c r="J239"/>
      <c r="K239"/>
      <c r="L239"/>
      <c r="M239"/>
      <c r="N239" s="2328"/>
    </row>
    <row r="240" spans="1:14" ht="14.1" customHeight="1">
      <c r="A240" s="2344"/>
      <c r="B240" s="940"/>
      <c r="C240" s="941"/>
      <c r="D240"/>
      <c r="E240"/>
      <c r="F240"/>
      <c r="G240" s="1112"/>
      <c r="H240"/>
      <c r="I240" s="1130"/>
      <c r="J240"/>
      <c r="K240"/>
      <c r="L240"/>
      <c r="M240"/>
      <c r="N240" s="2328"/>
    </row>
    <row r="241" spans="1:14" ht="14.1" customHeight="1">
      <c r="A241" s="2344"/>
      <c r="B241" s="940"/>
      <c r="C241" s="941"/>
      <c r="D241"/>
      <c r="E241"/>
      <c r="F241"/>
      <c r="G241" s="1112"/>
      <c r="H241"/>
      <c r="I241" s="1130"/>
      <c r="J241"/>
      <c r="K241"/>
      <c r="L241"/>
      <c r="M241"/>
      <c r="N241" s="2328"/>
    </row>
    <row r="242" spans="1:14" ht="14.1" customHeight="1">
      <c r="A242" s="2344"/>
      <c r="B242" s="940"/>
      <c r="C242" s="941"/>
      <c r="D242"/>
      <c r="E242"/>
      <c r="F242"/>
      <c r="G242" s="1112"/>
      <c r="H242"/>
      <c r="I242" s="1130"/>
      <c r="J242"/>
      <c r="K242"/>
      <c r="L242"/>
      <c r="M242"/>
      <c r="N242" s="2328"/>
    </row>
    <row r="243" spans="1:14" ht="14.1" customHeight="1">
      <c r="A243" s="2344"/>
      <c r="B243" s="944"/>
      <c r="C243" s="945"/>
      <c r="D243"/>
      <c r="E243"/>
      <c r="F243"/>
      <c r="G243" s="1112"/>
      <c r="H243"/>
      <c r="I243" s="1130"/>
      <c r="J243"/>
      <c r="K243"/>
      <c r="L243"/>
      <c r="M243"/>
      <c r="N243" s="2328"/>
    </row>
    <row r="244" spans="1:14" ht="14.1" customHeight="1">
      <c r="A244" s="2344"/>
      <c r="B244" s="944"/>
      <c r="C244" s="945"/>
      <c r="D244"/>
      <c r="E244"/>
      <c r="F244"/>
      <c r="G244" s="1112"/>
      <c r="H244"/>
      <c r="I244" s="1130"/>
      <c r="J244"/>
      <c r="K244"/>
      <c r="L244"/>
      <c r="M244"/>
      <c r="N244" s="2328"/>
    </row>
    <row r="245" spans="1:14" ht="14.1" customHeight="1">
      <c r="A245" s="2344"/>
      <c r="B245" s="944"/>
      <c r="C245" s="945"/>
      <c r="D245"/>
      <c r="E245"/>
      <c r="F245"/>
      <c r="G245" s="1112"/>
      <c r="H245"/>
      <c r="I245" s="1130"/>
      <c r="J245"/>
      <c r="K245"/>
      <c r="L245"/>
      <c r="M245"/>
      <c r="N245" s="2315"/>
    </row>
    <row r="246" spans="1:14" ht="14.1" customHeight="1" thickBot="1">
      <c r="A246" s="2345"/>
      <c r="B246" s="2352" t="s">
        <v>1052</v>
      </c>
      <c r="C246" s="2353"/>
      <c r="D246" s="2353"/>
      <c r="E246" s="2353"/>
      <c r="F246" s="2353"/>
      <c r="G246" s="2354"/>
      <c r="H246" s="947"/>
      <c r="I246" s="2352" t="s">
        <v>1052</v>
      </c>
      <c r="J246" s="2353"/>
      <c r="K246" s="2353"/>
      <c r="L246" s="2353"/>
      <c r="M246" s="2353"/>
      <c r="N246" s="2355"/>
    </row>
    <row r="247" spans="1:14" s="1339" customFormat="1" ht="16.899999999999999" customHeight="1" thickTop="1" thickBot="1">
      <c r="A247" s="2329" t="s">
        <v>130</v>
      </c>
      <c r="B247" s="2340" t="s">
        <v>642</v>
      </c>
      <c r="C247" s="2340"/>
      <c r="D247" s="2341" t="s">
        <v>467</v>
      </c>
      <c r="E247" s="2341"/>
      <c r="F247" s="2341"/>
      <c r="G247" s="2341"/>
      <c r="H247" s="2341"/>
      <c r="I247" s="2341"/>
      <c r="J247" s="2341"/>
      <c r="K247" s="2341"/>
      <c r="L247" s="2341"/>
      <c r="M247" s="2341"/>
      <c r="N247" s="2342"/>
    </row>
    <row r="248" spans="1:14" ht="14.1" customHeight="1">
      <c r="A248" s="2343" t="s">
        <v>434</v>
      </c>
      <c r="B248" s="936"/>
      <c r="C248" s="937"/>
      <c r="D248" s="1131"/>
      <c r="E248" s="1131"/>
      <c r="F248" s="1131"/>
      <c r="G248" s="938"/>
      <c r="I248" s="1129"/>
      <c r="J248" s="1131"/>
      <c r="K248" s="1131"/>
      <c r="L248" s="1131"/>
      <c r="M248" s="1131"/>
      <c r="N248" s="2327"/>
    </row>
    <row r="249" spans="1:14" ht="14.1" customHeight="1">
      <c r="A249" s="2344"/>
      <c r="B249" s="940"/>
      <c r="C249" s="941"/>
      <c r="E249"/>
      <c r="F249"/>
      <c r="G249" s="1112"/>
      <c r="H249"/>
      <c r="I249" s="1130"/>
      <c r="J249"/>
      <c r="K249"/>
      <c r="L249"/>
      <c r="M249"/>
      <c r="N249" s="2328"/>
    </row>
    <row r="250" spans="1:14" ht="14.1" customHeight="1">
      <c r="A250" s="2344"/>
      <c r="B250" s="940"/>
      <c r="C250" s="941"/>
      <c r="D250"/>
      <c r="E250"/>
      <c r="F250"/>
      <c r="G250" s="1112"/>
      <c r="H250"/>
      <c r="I250" s="1130"/>
      <c r="J250"/>
      <c r="K250"/>
      <c r="L250"/>
      <c r="M250"/>
      <c r="N250" s="2328"/>
    </row>
    <row r="251" spans="1:14" ht="14.1" customHeight="1">
      <c r="A251" s="2344"/>
      <c r="B251" s="940"/>
      <c r="C251" s="941"/>
      <c r="D251"/>
      <c r="E251"/>
      <c r="F251"/>
      <c r="G251" s="1112"/>
      <c r="H251"/>
      <c r="I251" s="1130"/>
      <c r="J251"/>
      <c r="K251"/>
      <c r="L251"/>
      <c r="M251"/>
      <c r="N251" s="2328"/>
    </row>
    <row r="252" spans="1:14" ht="14.1" customHeight="1">
      <c r="A252" s="2344"/>
      <c r="B252" s="940"/>
      <c r="C252" s="941"/>
      <c r="D252"/>
      <c r="E252"/>
      <c r="F252"/>
      <c r="G252" s="1112"/>
      <c r="H252"/>
      <c r="I252" s="1130"/>
      <c r="J252"/>
      <c r="K252"/>
      <c r="L252"/>
      <c r="M252"/>
      <c r="N252" s="2328"/>
    </row>
    <row r="253" spans="1:14" ht="14.1" customHeight="1">
      <c r="A253" s="2344"/>
      <c r="B253" s="944"/>
      <c r="C253" s="945"/>
      <c r="D253"/>
      <c r="E253"/>
      <c r="F253"/>
      <c r="G253" s="1112"/>
      <c r="H253"/>
      <c r="I253" s="1130"/>
      <c r="J253"/>
      <c r="K253"/>
      <c r="L253"/>
      <c r="M253"/>
      <c r="N253" s="2328"/>
    </row>
    <row r="254" spans="1:14" ht="14.1" customHeight="1">
      <c r="A254" s="2344"/>
      <c r="B254" s="944"/>
      <c r="C254" s="945"/>
      <c r="D254"/>
      <c r="E254"/>
      <c r="F254"/>
      <c r="G254" s="1112"/>
      <c r="H254"/>
      <c r="I254" s="1130"/>
      <c r="J254"/>
      <c r="K254"/>
      <c r="L254"/>
      <c r="M254"/>
      <c r="N254" s="2328"/>
    </row>
    <row r="255" spans="1:14" ht="14.1" customHeight="1">
      <c r="A255" s="2344"/>
      <c r="B255" s="944"/>
      <c r="C255" s="945"/>
      <c r="D255"/>
      <c r="E255"/>
      <c r="F255"/>
      <c r="G255" s="1112"/>
      <c r="H255"/>
      <c r="I255" s="1130"/>
      <c r="J255"/>
      <c r="K255"/>
      <c r="L255"/>
      <c r="M255"/>
      <c r="N255" s="2315"/>
    </row>
    <row r="256" spans="1:14" ht="14.1" customHeight="1" thickBot="1">
      <c r="A256" s="2345"/>
      <c r="B256" s="2352" t="s">
        <v>1053</v>
      </c>
      <c r="C256" s="2353"/>
      <c r="D256" s="2353"/>
      <c r="E256" s="2353"/>
      <c r="F256" s="2353"/>
      <c r="G256" s="2354"/>
      <c r="H256" s="947"/>
      <c r="I256" s="2352" t="s">
        <v>1085</v>
      </c>
      <c r="J256" s="2353"/>
      <c r="K256" s="2353"/>
      <c r="L256" s="2353"/>
      <c r="M256" s="2353"/>
      <c r="N256" s="2355"/>
    </row>
    <row r="257" spans="1:14" s="1339" customFormat="1" ht="16.899999999999999" customHeight="1" thickTop="1" thickBot="1">
      <c r="A257" s="2329" t="s">
        <v>130</v>
      </c>
      <c r="B257" s="2340" t="s">
        <v>642</v>
      </c>
      <c r="C257" s="2340"/>
      <c r="D257" s="2341" t="s">
        <v>422</v>
      </c>
      <c r="E257" s="2341"/>
      <c r="F257" s="2341"/>
      <c r="G257" s="2341"/>
      <c r="H257" s="2341"/>
      <c r="I257" s="2341"/>
      <c r="J257" s="2341"/>
      <c r="K257" s="2341"/>
      <c r="L257" s="2341"/>
      <c r="M257" s="2341"/>
      <c r="N257" s="2342"/>
    </row>
    <row r="258" spans="1:14" ht="14.1" customHeight="1">
      <c r="A258" s="2343" t="s">
        <v>435</v>
      </c>
      <c r="B258" s="936"/>
      <c r="C258" s="937"/>
      <c r="D258" s="1131"/>
      <c r="E258" s="1131"/>
      <c r="F258" s="1131"/>
      <c r="G258" s="938"/>
      <c r="I258" s="1129"/>
      <c r="J258" s="1131"/>
      <c r="K258" s="1131"/>
      <c r="L258" s="1131"/>
      <c r="M258" s="1131"/>
      <c r="N258" s="2327"/>
    </row>
    <row r="259" spans="1:14" ht="14.1" customHeight="1">
      <c r="A259" s="2344"/>
      <c r="B259" s="940"/>
      <c r="C259" s="941"/>
      <c r="E259"/>
      <c r="F259"/>
      <c r="G259" s="1112"/>
      <c r="H259"/>
      <c r="I259" s="1130"/>
      <c r="J259"/>
      <c r="K259"/>
      <c r="L259"/>
      <c r="M259"/>
      <c r="N259" s="2328"/>
    </row>
    <row r="260" spans="1:14" ht="14.1" customHeight="1">
      <c r="A260" s="2344"/>
      <c r="B260" s="940"/>
      <c r="C260" s="941"/>
      <c r="D260"/>
      <c r="E260"/>
      <c r="F260"/>
      <c r="G260" s="1112"/>
      <c r="H260"/>
      <c r="I260" s="1130"/>
      <c r="J260"/>
      <c r="K260"/>
      <c r="L260"/>
      <c r="M260"/>
      <c r="N260" s="2328"/>
    </row>
    <row r="261" spans="1:14" ht="14.1" customHeight="1">
      <c r="A261" s="2344"/>
      <c r="B261" s="940"/>
      <c r="C261" s="941"/>
      <c r="D261"/>
      <c r="E261"/>
      <c r="F261"/>
      <c r="G261" s="1112"/>
      <c r="H261"/>
      <c r="I261" s="1130"/>
      <c r="J261"/>
      <c r="K261"/>
      <c r="L261"/>
      <c r="M261"/>
      <c r="N261" s="2328"/>
    </row>
    <row r="262" spans="1:14" ht="14.1" customHeight="1">
      <c r="A262" s="2344"/>
      <c r="B262" s="940"/>
      <c r="C262" s="941"/>
      <c r="D262"/>
      <c r="E262"/>
      <c r="F262"/>
      <c r="G262" s="1112"/>
      <c r="H262"/>
      <c r="I262" s="1130"/>
      <c r="J262"/>
      <c r="K262"/>
      <c r="L262"/>
      <c r="M262"/>
      <c r="N262" s="2328"/>
    </row>
    <row r="263" spans="1:14" ht="14.1" customHeight="1">
      <c r="A263" s="2344"/>
      <c r="B263" s="944"/>
      <c r="C263" s="945"/>
      <c r="D263"/>
      <c r="E263"/>
      <c r="F263"/>
      <c r="G263" s="1112"/>
      <c r="H263"/>
      <c r="I263" s="1130"/>
      <c r="J263"/>
      <c r="K263"/>
      <c r="L263"/>
      <c r="M263"/>
      <c r="N263" s="2328"/>
    </row>
    <row r="264" spans="1:14" ht="14.1" customHeight="1">
      <c r="A264" s="2344"/>
      <c r="B264" s="944"/>
      <c r="C264" s="945"/>
      <c r="D264"/>
      <c r="E264"/>
      <c r="F264"/>
      <c r="G264" s="1112"/>
      <c r="H264"/>
      <c r="I264" s="1130"/>
      <c r="J264"/>
      <c r="K264"/>
      <c r="L264"/>
      <c r="M264"/>
      <c r="N264" s="2328"/>
    </row>
    <row r="265" spans="1:14" ht="14.1" customHeight="1">
      <c r="A265" s="2344"/>
      <c r="B265" s="944"/>
      <c r="C265" s="945"/>
      <c r="D265"/>
      <c r="E265"/>
      <c r="F265"/>
      <c r="G265" s="1112"/>
      <c r="H265"/>
      <c r="I265" s="1130"/>
      <c r="J265"/>
      <c r="K265"/>
      <c r="L265"/>
      <c r="M265"/>
      <c r="N265" s="2315"/>
    </row>
    <row r="266" spans="1:14" ht="14.1" customHeight="1" thickBot="1">
      <c r="A266" s="2345"/>
      <c r="B266" s="2352" t="s">
        <v>1150</v>
      </c>
      <c r="C266" s="2353"/>
      <c r="D266" s="2353"/>
      <c r="E266" s="2353"/>
      <c r="F266" s="2353"/>
      <c r="G266" s="2354"/>
      <c r="H266" s="947"/>
      <c r="I266" s="2352" t="s">
        <v>1150</v>
      </c>
      <c r="J266" s="2353"/>
      <c r="K266" s="2353"/>
      <c r="L266" s="2353"/>
      <c r="M266" s="2353"/>
      <c r="N266" s="2355"/>
    </row>
    <row r="267" spans="1:14" s="1339" customFormat="1" ht="16.899999999999999" customHeight="1" thickTop="1" thickBot="1">
      <c r="A267" s="2329" t="s">
        <v>130</v>
      </c>
      <c r="B267" s="2340" t="s">
        <v>642</v>
      </c>
      <c r="C267" s="2340"/>
      <c r="D267" s="2341" t="s">
        <v>468</v>
      </c>
      <c r="E267" s="2341"/>
      <c r="F267" s="2341"/>
      <c r="G267" s="2341"/>
      <c r="H267" s="2341"/>
      <c r="I267" s="2341"/>
      <c r="J267" s="2341"/>
      <c r="K267" s="2341"/>
      <c r="L267" s="2341"/>
      <c r="M267" s="2341"/>
      <c r="N267" s="2342"/>
    </row>
    <row r="268" spans="1:14" ht="14.1" customHeight="1">
      <c r="A268" s="2343" t="s">
        <v>436</v>
      </c>
      <c r="B268" s="936"/>
      <c r="C268" s="937"/>
      <c r="D268" s="1131"/>
      <c r="E268" s="1131"/>
      <c r="F268" s="1131"/>
      <c r="G268" s="938"/>
      <c r="I268" s="1129"/>
      <c r="J268" s="1131"/>
      <c r="K268" s="1131"/>
      <c r="L268" s="1131"/>
      <c r="M268" s="1131"/>
      <c r="N268" s="2327"/>
    </row>
    <row r="269" spans="1:14" ht="14.1" customHeight="1">
      <c r="A269" s="2344"/>
      <c r="B269" s="940"/>
      <c r="C269" s="941"/>
      <c r="E269"/>
      <c r="F269"/>
      <c r="G269" s="1112"/>
      <c r="H269"/>
      <c r="I269" s="1130"/>
      <c r="J269"/>
      <c r="K269"/>
      <c r="L269"/>
      <c r="M269"/>
      <c r="N269" s="2328"/>
    </row>
    <row r="270" spans="1:14" ht="14.1" customHeight="1">
      <c r="A270" s="2344"/>
      <c r="B270" s="940"/>
      <c r="C270" s="941"/>
      <c r="D270"/>
      <c r="E270"/>
      <c r="F270"/>
      <c r="G270" s="1112"/>
      <c r="H270"/>
      <c r="I270" s="1130"/>
      <c r="J270"/>
      <c r="K270"/>
      <c r="L270"/>
      <c r="M270"/>
      <c r="N270" s="2328"/>
    </row>
    <row r="271" spans="1:14" ht="14.1" customHeight="1">
      <c r="A271" s="2344"/>
      <c r="B271" s="940"/>
      <c r="C271" s="941"/>
      <c r="D271"/>
      <c r="E271"/>
      <c r="F271"/>
      <c r="G271" s="1112"/>
      <c r="H271"/>
      <c r="I271" s="1130"/>
      <c r="J271"/>
      <c r="K271"/>
      <c r="L271"/>
      <c r="M271"/>
      <c r="N271" s="2328"/>
    </row>
    <row r="272" spans="1:14" ht="14.1" customHeight="1">
      <c r="A272" s="2344"/>
      <c r="B272" s="940"/>
      <c r="C272" s="941"/>
      <c r="D272"/>
      <c r="E272"/>
      <c r="F272"/>
      <c r="G272" s="1112"/>
      <c r="H272"/>
      <c r="I272" s="1130"/>
      <c r="J272"/>
      <c r="K272"/>
      <c r="L272"/>
      <c r="M272"/>
      <c r="N272" s="2328"/>
    </row>
    <row r="273" spans="1:14" ht="14.1" customHeight="1">
      <c r="A273" s="2344"/>
      <c r="B273" s="944"/>
      <c r="C273" s="945"/>
      <c r="D273"/>
      <c r="E273"/>
      <c r="F273"/>
      <c r="G273" s="1112"/>
      <c r="H273"/>
      <c r="I273" s="1130"/>
      <c r="J273"/>
      <c r="K273"/>
      <c r="L273"/>
      <c r="M273"/>
      <c r="N273" s="2328"/>
    </row>
    <row r="274" spans="1:14" ht="14.1" customHeight="1">
      <c r="A274" s="2344"/>
      <c r="B274" s="944"/>
      <c r="C274" s="945"/>
      <c r="D274"/>
      <c r="E274"/>
      <c r="F274"/>
      <c r="G274" s="1112"/>
      <c r="H274"/>
      <c r="I274" s="1130"/>
      <c r="J274"/>
      <c r="K274"/>
      <c r="L274"/>
      <c r="M274"/>
      <c r="N274" s="2328"/>
    </row>
    <row r="275" spans="1:14" ht="14.1" customHeight="1">
      <c r="A275" s="2344"/>
      <c r="B275" s="944"/>
      <c r="C275" s="945"/>
      <c r="D275"/>
      <c r="E275"/>
      <c r="F275"/>
      <c r="G275" s="1112"/>
      <c r="H275"/>
      <c r="I275" s="1130"/>
      <c r="J275"/>
      <c r="K275"/>
      <c r="L275"/>
      <c r="M275"/>
      <c r="N275" s="2315"/>
    </row>
    <row r="276" spans="1:14" ht="14.1" customHeight="1" thickBot="1">
      <c r="A276" s="2345"/>
      <c r="B276" s="2352" t="s">
        <v>1089</v>
      </c>
      <c r="C276" s="2353"/>
      <c r="D276" s="2353"/>
      <c r="E276" s="2353"/>
      <c r="F276" s="2353"/>
      <c r="G276" s="2354"/>
      <c r="H276" s="947"/>
      <c r="I276" s="2352"/>
      <c r="J276" s="2353"/>
      <c r="K276" s="2353"/>
      <c r="L276" s="2353"/>
      <c r="M276" s="2353"/>
      <c r="N276" s="2355"/>
    </row>
    <row r="277" spans="1:14" s="1339" customFormat="1" ht="16.899999999999999" customHeight="1" thickTop="1" thickBot="1">
      <c r="A277" s="2329" t="s">
        <v>130</v>
      </c>
      <c r="B277" s="2340" t="s">
        <v>642</v>
      </c>
      <c r="C277" s="2340"/>
      <c r="D277" s="2341" t="s">
        <v>1141</v>
      </c>
      <c r="E277" s="2341"/>
      <c r="F277" s="2341"/>
      <c r="G277" s="2341"/>
      <c r="H277" s="2341"/>
      <c r="I277" s="2341"/>
      <c r="J277" s="2341"/>
      <c r="K277" s="2341"/>
      <c r="L277" s="2341"/>
      <c r="M277" s="2341"/>
      <c r="N277" s="2342"/>
    </row>
    <row r="278" spans="1:14" ht="14.1" customHeight="1">
      <c r="A278" s="2343" t="s">
        <v>437</v>
      </c>
      <c r="B278" s="936"/>
      <c r="C278" s="937"/>
      <c r="D278" s="1131"/>
      <c r="E278" s="1131"/>
      <c r="F278" s="1131"/>
      <c r="G278" s="938"/>
      <c r="I278" s="1129"/>
      <c r="J278" s="1131"/>
      <c r="K278" s="1131"/>
      <c r="L278" s="1131"/>
      <c r="M278" s="1131"/>
      <c r="N278" s="2327"/>
    </row>
    <row r="279" spans="1:14" ht="14.1" customHeight="1">
      <c r="A279" s="2344"/>
      <c r="B279" s="940"/>
      <c r="C279" s="941"/>
      <c r="E279"/>
      <c r="F279"/>
      <c r="G279" s="1112"/>
      <c r="H279"/>
      <c r="I279" s="1130"/>
      <c r="J279"/>
      <c r="K279"/>
      <c r="L279"/>
      <c r="M279"/>
      <c r="N279" s="2328"/>
    </row>
    <row r="280" spans="1:14" ht="14.1" customHeight="1">
      <c r="A280" s="2344"/>
      <c r="B280" s="940"/>
      <c r="C280" s="941"/>
      <c r="D280"/>
      <c r="E280"/>
      <c r="F280"/>
      <c r="G280" s="1112"/>
      <c r="H280"/>
      <c r="I280" s="1130"/>
      <c r="J280"/>
      <c r="K280"/>
      <c r="L280"/>
      <c r="M280"/>
      <c r="N280" s="2328"/>
    </row>
    <row r="281" spans="1:14" ht="14.1" customHeight="1">
      <c r="A281" s="2344"/>
      <c r="B281" s="940"/>
      <c r="C281" s="941"/>
      <c r="D281"/>
      <c r="E281"/>
      <c r="F281"/>
      <c r="G281" s="1112"/>
      <c r="H281"/>
      <c r="I281" s="1130"/>
      <c r="J281"/>
      <c r="K281"/>
      <c r="L281"/>
      <c r="M281"/>
      <c r="N281" s="2328"/>
    </row>
    <row r="282" spans="1:14" ht="14.1" customHeight="1">
      <c r="A282" s="2344"/>
      <c r="B282" s="940"/>
      <c r="C282" s="941"/>
      <c r="D282"/>
      <c r="E282"/>
      <c r="F282"/>
      <c r="G282" s="1112"/>
      <c r="H282"/>
      <c r="I282" s="1130"/>
      <c r="J282"/>
      <c r="K282"/>
      <c r="L282"/>
      <c r="M282"/>
      <c r="N282" s="2328"/>
    </row>
    <row r="283" spans="1:14" ht="14.1" customHeight="1">
      <c r="A283" s="2344"/>
      <c r="B283" s="944"/>
      <c r="C283" s="945"/>
      <c r="D283"/>
      <c r="E283"/>
      <c r="F283"/>
      <c r="G283" s="1112"/>
      <c r="H283"/>
      <c r="I283" s="1130"/>
      <c r="J283"/>
      <c r="K283"/>
      <c r="L283"/>
      <c r="M283"/>
      <c r="N283" s="2328"/>
    </row>
    <row r="284" spans="1:14" ht="14.1" customHeight="1">
      <c r="A284" s="2344"/>
      <c r="B284" s="944"/>
      <c r="C284" s="945"/>
      <c r="D284"/>
      <c r="E284"/>
      <c r="F284"/>
      <c r="G284" s="1112"/>
      <c r="H284"/>
      <c r="I284" s="1130"/>
      <c r="J284"/>
      <c r="K284"/>
      <c r="L284"/>
      <c r="M284"/>
      <c r="N284" s="2328"/>
    </row>
    <row r="285" spans="1:14" ht="14.1" customHeight="1">
      <c r="A285" s="2344"/>
      <c r="B285" s="944"/>
      <c r="C285" s="945"/>
      <c r="D285"/>
      <c r="E285"/>
      <c r="F285"/>
      <c r="G285" s="1112"/>
      <c r="H285"/>
      <c r="I285" s="1130"/>
      <c r="J285"/>
      <c r="K285"/>
      <c r="L285"/>
      <c r="M285"/>
      <c r="N285" s="2315"/>
    </row>
    <row r="286" spans="1:14" ht="14.1" customHeight="1" thickBot="1">
      <c r="A286" s="2345"/>
      <c r="B286" s="2352" t="s">
        <v>1089</v>
      </c>
      <c r="C286" s="2353"/>
      <c r="D286" s="2353"/>
      <c r="E286" s="2353"/>
      <c r="F286" s="2353"/>
      <c r="G286" s="2354"/>
      <c r="H286" s="947"/>
      <c r="I286" s="2352" t="s">
        <v>1089</v>
      </c>
      <c r="J286" s="2353"/>
      <c r="K286" s="2353"/>
      <c r="L286" s="2353"/>
      <c r="M286" s="2353"/>
      <c r="N286" s="2355"/>
    </row>
    <row r="287" spans="1:14" ht="14.1" customHeight="1" thickTop="1" thickBot="1">
      <c r="A287" s="2329" t="s">
        <v>130</v>
      </c>
      <c r="B287" s="2340" t="s">
        <v>642</v>
      </c>
      <c r="C287" s="2340"/>
      <c r="D287" s="2341" t="s">
        <v>423</v>
      </c>
      <c r="E287" s="2341"/>
      <c r="F287" s="2341"/>
      <c r="G287" s="2341"/>
      <c r="H287" s="2341"/>
      <c r="I287" s="2341"/>
      <c r="J287" s="2341"/>
      <c r="K287" s="2341"/>
      <c r="L287" s="2341"/>
      <c r="M287" s="2341"/>
      <c r="N287" s="2342"/>
    </row>
    <row r="288" spans="1:14" ht="14.1" customHeight="1">
      <c r="A288" s="2343" t="s">
        <v>438</v>
      </c>
      <c r="B288" s="936"/>
      <c r="C288" s="937"/>
      <c r="D288" s="1131"/>
      <c r="E288" s="1131"/>
      <c r="F288" s="1131"/>
      <c r="G288" s="938"/>
      <c r="I288" s="1129"/>
      <c r="J288" s="1131"/>
      <c r="K288" s="1131"/>
      <c r="L288" s="1131"/>
      <c r="M288" s="1131"/>
      <c r="N288" s="2327"/>
    </row>
    <row r="289" spans="1:14" ht="14.1" customHeight="1">
      <c r="A289" s="2344"/>
      <c r="B289" s="940"/>
      <c r="C289" s="941"/>
      <c r="E289"/>
      <c r="F289"/>
      <c r="G289" s="1112"/>
      <c r="H289"/>
      <c r="I289" s="1130"/>
      <c r="J289"/>
      <c r="K289"/>
      <c r="L289"/>
      <c r="M289"/>
      <c r="N289" s="2328"/>
    </row>
    <row r="290" spans="1:14" ht="14.1" customHeight="1">
      <c r="A290" s="2344"/>
      <c r="B290" s="940"/>
      <c r="C290" s="941"/>
      <c r="D290"/>
      <c r="E290"/>
      <c r="F290"/>
      <c r="G290" s="1112"/>
      <c r="H290"/>
      <c r="I290" s="1130"/>
      <c r="J290"/>
      <c r="K290"/>
      <c r="L290"/>
      <c r="M290"/>
      <c r="N290" s="2328"/>
    </row>
    <row r="291" spans="1:14" ht="14.1" customHeight="1">
      <c r="A291" s="2344"/>
      <c r="B291" s="940"/>
      <c r="C291" s="941"/>
      <c r="D291"/>
      <c r="E291"/>
      <c r="F291"/>
      <c r="G291" s="1112"/>
      <c r="H291"/>
      <c r="I291" s="1130"/>
      <c r="J291"/>
      <c r="K291"/>
      <c r="L291"/>
      <c r="M291"/>
      <c r="N291" s="2328"/>
    </row>
    <row r="292" spans="1:14" ht="14.1" customHeight="1">
      <c r="A292" s="2344"/>
      <c r="B292" s="940"/>
      <c r="C292" s="941"/>
      <c r="D292"/>
      <c r="E292"/>
      <c r="F292"/>
      <c r="G292" s="1112"/>
      <c r="H292"/>
      <c r="I292" s="1130"/>
      <c r="J292"/>
      <c r="K292"/>
      <c r="L292"/>
      <c r="M292"/>
      <c r="N292" s="2328"/>
    </row>
    <row r="293" spans="1:14" ht="14.1" customHeight="1">
      <c r="A293" s="2344"/>
      <c r="B293" s="944"/>
      <c r="C293" s="945"/>
      <c r="D293"/>
      <c r="E293"/>
      <c r="F293"/>
      <c r="G293" s="1112"/>
      <c r="H293"/>
      <c r="I293" s="1130"/>
      <c r="J293"/>
      <c r="K293"/>
      <c r="L293"/>
      <c r="M293"/>
      <c r="N293" s="2328"/>
    </row>
    <row r="294" spans="1:14" ht="14.1" customHeight="1">
      <c r="A294" s="2344"/>
      <c r="B294" s="944"/>
      <c r="C294" s="945"/>
      <c r="D294"/>
      <c r="E294"/>
      <c r="F294"/>
      <c r="G294" s="1112"/>
      <c r="H294"/>
      <c r="I294" s="1130"/>
      <c r="J294"/>
      <c r="K294"/>
      <c r="L294"/>
      <c r="M294"/>
      <c r="N294" s="2328"/>
    </row>
    <row r="295" spans="1:14" ht="14.1" customHeight="1">
      <c r="A295" s="2344"/>
      <c r="B295" s="944"/>
      <c r="C295" s="945"/>
      <c r="D295"/>
      <c r="E295"/>
      <c r="F295"/>
      <c r="G295" s="1112"/>
      <c r="H295"/>
      <c r="I295" s="1130"/>
      <c r="J295"/>
      <c r="K295"/>
      <c r="L295"/>
      <c r="M295"/>
      <c r="N295" s="2315"/>
    </row>
    <row r="296" spans="1:14" ht="14.1" customHeight="1" thickBot="1">
      <c r="A296" s="2345"/>
      <c r="B296" s="2352" t="s">
        <v>1142</v>
      </c>
      <c r="C296" s="2353"/>
      <c r="D296" s="2353"/>
      <c r="E296" s="2353"/>
      <c r="F296" s="2353"/>
      <c r="G296" s="2354"/>
      <c r="H296" s="947"/>
      <c r="I296" s="2352" t="s">
        <v>1143</v>
      </c>
      <c r="J296" s="2353"/>
      <c r="K296" s="2353"/>
      <c r="L296" s="2353"/>
      <c r="M296" s="2353"/>
      <c r="N296" s="2355"/>
    </row>
    <row r="297" spans="1:14" ht="27.75" customHeight="1" thickTop="1" thickBot="1">
      <c r="A297" s="2329" t="s">
        <v>130</v>
      </c>
      <c r="B297" s="2340" t="s">
        <v>642</v>
      </c>
      <c r="C297" s="2340"/>
      <c r="D297" s="2341" t="s">
        <v>469</v>
      </c>
      <c r="E297" s="2341"/>
      <c r="F297" s="2341"/>
      <c r="G297" s="2341"/>
      <c r="H297" s="2341"/>
      <c r="I297" s="2341"/>
      <c r="J297" s="2341"/>
      <c r="K297" s="2341"/>
      <c r="L297" s="2341"/>
      <c r="M297" s="2341"/>
      <c r="N297" s="2342"/>
    </row>
    <row r="298" spans="1:14" ht="14.1" customHeight="1">
      <c r="A298" s="2343" t="s">
        <v>443</v>
      </c>
      <c r="B298" s="936"/>
      <c r="C298" s="937"/>
      <c r="D298" s="1131"/>
      <c r="E298" s="1131"/>
      <c r="F298" s="1131"/>
      <c r="G298" s="938"/>
      <c r="I298" s="1129"/>
      <c r="J298" s="1131"/>
      <c r="K298" s="1131"/>
      <c r="L298" s="1131"/>
      <c r="M298" s="1131"/>
      <c r="N298" s="2327"/>
    </row>
    <row r="299" spans="1:14" ht="14.1" customHeight="1">
      <c r="A299" s="2344"/>
      <c r="B299" s="940"/>
      <c r="C299" s="941"/>
      <c r="E299"/>
      <c r="F299"/>
      <c r="G299" s="1112"/>
      <c r="H299"/>
      <c r="I299" s="1130"/>
      <c r="J299"/>
      <c r="K299"/>
      <c r="L299"/>
      <c r="M299"/>
      <c r="N299" s="2328"/>
    </row>
    <row r="300" spans="1:14" ht="14.1" customHeight="1">
      <c r="A300" s="2344"/>
      <c r="B300" s="940"/>
      <c r="C300" s="941"/>
      <c r="D300"/>
      <c r="E300"/>
      <c r="F300"/>
      <c r="G300" s="1112"/>
      <c r="H300"/>
      <c r="I300" s="1130"/>
      <c r="J300"/>
      <c r="K300"/>
      <c r="L300"/>
      <c r="M300"/>
      <c r="N300" s="2328"/>
    </row>
    <row r="301" spans="1:14" ht="14.1" customHeight="1">
      <c r="A301" s="2344"/>
      <c r="B301" s="940"/>
      <c r="C301" s="941"/>
      <c r="D301"/>
      <c r="E301"/>
      <c r="F301"/>
      <c r="G301" s="1112"/>
      <c r="H301"/>
      <c r="I301" s="1130"/>
      <c r="J301"/>
      <c r="K301"/>
      <c r="L301"/>
      <c r="M301"/>
      <c r="N301" s="2328"/>
    </row>
    <row r="302" spans="1:14" ht="14.1" customHeight="1">
      <c r="A302" s="2344"/>
      <c r="B302" s="940"/>
      <c r="C302" s="941"/>
      <c r="D302"/>
      <c r="E302"/>
      <c r="F302"/>
      <c r="G302" s="1112"/>
      <c r="H302"/>
      <c r="I302" s="1130"/>
      <c r="J302"/>
      <c r="K302"/>
      <c r="L302"/>
      <c r="M302"/>
      <c r="N302" s="2328"/>
    </row>
    <row r="303" spans="1:14" ht="14.1" customHeight="1">
      <c r="A303" s="2344"/>
      <c r="B303" s="944"/>
      <c r="C303" s="945"/>
      <c r="D303"/>
      <c r="E303"/>
      <c r="F303"/>
      <c r="G303" s="1112"/>
      <c r="H303"/>
      <c r="I303" s="1130"/>
      <c r="J303"/>
      <c r="K303"/>
      <c r="L303"/>
      <c r="M303"/>
      <c r="N303" s="2328"/>
    </row>
    <row r="304" spans="1:14" ht="14.1" customHeight="1">
      <c r="A304" s="2344"/>
      <c r="B304" s="944"/>
      <c r="C304" s="945"/>
      <c r="D304"/>
      <c r="E304"/>
      <c r="F304"/>
      <c r="G304" s="1112"/>
      <c r="H304"/>
      <c r="I304" s="1130"/>
      <c r="J304"/>
      <c r="K304"/>
      <c r="L304"/>
      <c r="M304"/>
      <c r="N304" s="2328"/>
    </row>
    <row r="305" spans="1:14" ht="14.1" customHeight="1">
      <c r="A305" s="2344"/>
      <c r="B305" s="944"/>
      <c r="C305" s="945"/>
      <c r="D305"/>
      <c r="E305"/>
      <c r="F305"/>
      <c r="G305" s="1112"/>
      <c r="H305"/>
      <c r="I305" s="1130"/>
      <c r="J305"/>
      <c r="K305"/>
      <c r="L305"/>
      <c r="M305"/>
      <c r="N305" s="2315"/>
    </row>
    <row r="306" spans="1:14" ht="14.1" customHeight="1" thickBot="1">
      <c r="A306" s="2345"/>
      <c r="B306" s="2352" t="s">
        <v>1087</v>
      </c>
      <c r="C306" s="2353"/>
      <c r="D306" s="2353"/>
      <c r="E306" s="2353"/>
      <c r="F306" s="2353"/>
      <c r="G306" s="2354"/>
      <c r="H306" s="947"/>
      <c r="I306" s="2352" t="s">
        <v>1086</v>
      </c>
      <c r="J306" s="2353"/>
      <c r="K306" s="2353"/>
      <c r="L306" s="2353"/>
      <c r="M306" s="2353"/>
      <c r="N306" s="2355"/>
    </row>
    <row r="307" spans="1:14" s="1339" customFormat="1" ht="16.899999999999999" customHeight="1" thickTop="1" thickBot="1">
      <c r="A307" s="2329" t="s">
        <v>130</v>
      </c>
      <c r="B307" s="2340" t="s">
        <v>642</v>
      </c>
      <c r="C307" s="2340"/>
      <c r="D307" s="2340" t="s">
        <v>472</v>
      </c>
      <c r="E307" s="2340"/>
      <c r="F307" s="2340"/>
      <c r="G307" s="2340"/>
      <c r="H307" s="2340"/>
      <c r="I307" s="2340"/>
      <c r="J307" s="2340"/>
      <c r="K307" s="2340"/>
      <c r="L307" s="2340"/>
      <c r="M307" s="2340"/>
      <c r="N307" s="2425"/>
    </row>
    <row r="308" spans="1:14" ht="14.1" customHeight="1">
      <c r="A308" s="2343" t="s">
        <v>447</v>
      </c>
      <c r="B308" s="936"/>
      <c r="C308" s="937"/>
      <c r="D308" s="1131"/>
      <c r="E308" s="1131"/>
      <c r="F308" s="1131"/>
      <c r="G308" s="938"/>
      <c r="I308" s="1129"/>
      <c r="J308" s="1131"/>
      <c r="K308" s="1131"/>
      <c r="L308" s="1131"/>
      <c r="M308" s="1131"/>
      <c r="N308" s="2327"/>
    </row>
    <row r="309" spans="1:14" ht="14.1" customHeight="1">
      <c r="A309" s="2344"/>
      <c r="B309" s="940"/>
      <c r="C309" s="941"/>
      <c r="E309"/>
      <c r="F309"/>
      <c r="G309" s="1112"/>
      <c r="H309"/>
      <c r="I309" s="1130"/>
      <c r="J309"/>
      <c r="K309"/>
      <c r="L309"/>
      <c r="M309"/>
      <c r="N309" s="2328"/>
    </row>
    <row r="310" spans="1:14" ht="14.1" customHeight="1">
      <c r="A310" s="2344"/>
      <c r="B310" s="940"/>
      <c r="C310" s="941"/>
      <c r="D310"/>
      <c r="E310"/>
      <c r="F310"/>
      <c r="G310" s="1112"/>
      <c r="H310"/>
      <c r="I310" s="1130"/>
      <c r="J310"/>
      <c r="K310"/>
      <c r="L310"/>
      <c r="M310"/>
      <c r="N310" s="2328"/>
    </row>
    <row r="311" spans="1:14" ht="14.1" customHeight="1">
      <c r="A311" s="2344"/>
      <c r="B311" s="940"/>
      <c r="C311" s="941"/>
      <c r="D311"/>
      <c r="E311"/>
      <c r="F311"/>
      <c r="G311" s="1112"/>
      <c r="H311"/>
      <c r="I311" s="1130"/>
      <c r="J311"/>
      <c r="K311"/>
      <c r="L311"/>
      <c r="M311"/>
      <c r="N311" s="2328"/>
    </row>
    <row r="312" spans="1:14" ht="14.1" customHeight="1">
      <c r="A312" s="2344"/>
      <c r="B312" s="940"/>
      <c r="C312" s="941"/>
      <c r="D312"/>
      <c r="E312"/>
      <c r="F312"/>
      <c r="G312" s="1112"/>
      <c r="H312"/>
      <c r="I312" s="1130"/>
      <c r="J312"/>
      <c r="K312"/>
      <c r="L312"/>
      <c r="M312"/>
      <c r="N312" s="2328"/>
    </row>
    <row r="313" spans="1:14" ht="14.1" customHeight="1">
      <c r="A313" s="2344"/>
      <c r="B313" s="944"/>
      <c r="C313" s="945"/>
      <c r="D313"/>
      <c r="E313"/>
      <c r="F313"/>
      <c r="G313" s="1112"/>
      <c r="H313"/>
      <c r="I313" s="1130"/>
      <c r="J313"/>
      <c r="K313"/>
      <c r="L313"/>
      <c r="M313"/>
      <c r="N313" s="2328"/>
    </row>
    <row r="314" spans="1:14" ht="14.1" customHeight="1">
      <c r="A314" s="2344"/>
      <c r="B314" s="944"/>
      <c r="C314" s="945"/>
      <c r="D314"/>
      <c r="E314"/>
      <c r="F314"/>
      <c r="G314" s="1112"/>
      <c r="H314"/>
      <c r="I314" s="1130"/>
      <c r="J314"/>
      <c r="K314"/>
      <c r="L314"/>
      <c r="M314"/>
      <c r="N314" s="2328"/>
    </row>
    <row r="315" spans="1:14" ht="14.1" customHeight="1">
      <c r="A315" s="2344"/>
      <c r="B315" s="944"/>
      <c r="C315" s="945"/>
      <c r="D315"/>
      <c r="E315"/>
      <c r="F315"/>
      <c r="G315" s="1112"/>
      <c r="H315"/>
      <c r="I315" s="1130"/>
      <c r="J315"/>
      <c r="K315"/>
      <c r="L315"/>
      <c r="M315"/>
      <c r="N315" s="2315"/>
    </row>
    <row r="316" spans="1:14" ht="14.1" customHeight="1" thickBot="1">
      <c r="A316" s="2345"/>
      <c r="B316" s="2352" t="s">
        <v>1055</v>
      </c>
      <c r="C316" s="2353"/>
      <c r="D316" s="2353"/>
      <c r="E316" s="2353"/>
      <c r="F316" s="2353"/>
      <c r="G316" s="2354"/>
      <c r="H316" s="947"/>
      <c r="I316" s="2352" t="s">
        <v>1054</v>
      </c>
      <c r="J316" s="2353"/>
      <c r="K316" s="2353"/>
      <c r="L316" s="2353"/>
      <c r="M316" s="2353"/>
      <c r="N316" s="2355"/>
    </row>
    <row r="317" spans="1:14" s="1339" customFormat="1" ht="27.75" customHeight="1" thickTop="1" thickBot="1">
      <c r="A317" s="2329" t="s">
        <v>130</v>
      </c>
      <c r="B317" s="2340" t="s">
        <v>642</v>
      </c>
      <c r="C317" s="2340"/>
      <c r="D317" s="2341" t="s">
        <v>473</v>
      </c>
      <c r="E317" s="2341"/>
      <c r="F317" s="2341"/>
      <c r="G317" s="2341"/>
      <c r="H317" s="2341"/>
      <c r="I317" s="2341"/>
      <c r="J317" s="2341"/>
      <c r="K317" s="2341"/>
      <c r="L317" s="2341"/>
      <c r="M317" s="2341"/>
      <c r="N317" s="2342"/>
    </row>
    <row r="318" spans="1:14" ht="14.1" customHeight="1">
      <c r="A318" s="2343" t="s">
        <v>448</v>
      </c>
      <c r="B318" s="936"/>
      <c r="C318" s="937"/>
      <c r="D318" s="1131"/>
      <c r="E318" s="1131"/>
      <c r="F318" s="1131"/>
      <c r="G318" s="938"/>
      <c r="I318" s="1129"/>
      <c r="J318" s="1131"/>
      <c r="K318" s="1131"/>
      <c r="L318" s="1131"/>
      <c r="M318" s="1131"/>
      <c r="N318" s="2327"/>
    </row>
    <row r="319" spans="1:14" ht="14.1" customHeight="1">
      <c r="A319" s="2344"/>
      <c r="B319" s="940"/>
      <c r="C319" s="941"/>
      <c r="E319"/>
      <c r="F319"/>
      <c r="G319" s="1112"/>
      <c r="H319"/>
      <c r="I319" s="1130"/>
      <c r="J319"/>
      <c r="K319"/>
      <c r="L319"/>
      <c r="M319"/>
      <c r="N319" s="2328"/>
    </row>
    <row r="320" spans="1:14" ht="14.1" customHeight="1">
      <c r="A320" s="2344"/>
      <c r="B320" s="940"/>
      <c r="C320" s="941"/>
      <c r="D320"/>
      <c r="E320"/>
      <c r="F320"/>
      <c r="G320" s="1112"/>
      <c r="H320"/>
      <c r="I320" s="1130"/>
      <c r="J320"/>
      <c r="K320"/>
      <c r="L320"/>
      <c r="M320"/>
      <c r="N320" s="2328"/>
    </row>
    <row r="321" spans="1:14" ht="14.1" customHeight="1">
      <c r="A321" s="2344"/>
      <c r="B321" s="940"/>
      <c r="C321" s="941"/>
      <c r="D321"/>
      <c r="E321"/>
      <c r="F321"/>
      <c r="G321" s="1112"/>
      <c r="H321"/>
      <c r="I321" s="1130"/>
      <c r="J321"/>
      <c r="K321"/>
      <c r="L321"/>
      <c r="M321"/>
      <c r="N321" s="2328"/>
    </row>
    <row r="322" spans="1:14" ht="14.1" customHeight="1">
      <c r="A322" s="2344"/>
      <c r="B322" s="940"/>
      <c r="C322" s="941"/>
      <c r="D322"/>
      <c r="E322"/>
      <c r="F322"/>
      <c r="G322" s="1112"/>
      <c r="H322"/>
      <c r="I322" s="1130"/>
      <c r="J322"/>
      <c r="K322"/>
      <c r="L322"/>
      <c r="M322"/>
      <c r="N322" s="2328"/>
    </row>
    <row r="323" spans="1:14" ht="14.1" customHeight="1">
      <c r="A323" s="2344"/>
      <c r="B323" s="944"/>
      <c r="C323" s="945"/>
      <c r="D323"/>
      <c r="E323"/>
      <c r="F323"/>
      <c r="G323" s="1112"/>
      <c r="H323"/>
      <c r="I323" s="1130"/>
      <c r="J323"/>
      <c r="K323"/>
      <c r="L323"/>
      <c r="M323"/>
      <c r="N323" s="2328"/>
    </row>
    <row r="324" spans="1:14" ht="14.1" customHeight="1">
      <c r="A324" s="2344"/>
      <c r="B324" s="944"/>
      <c r="C324" s="945"/>
      <c r="D324"/>
      <c r="E324"/>
      <c r="F324"/>
      <c r="G324" s="1112"/>
      <c r="H324"/>
      <c r="I324" s="1130"/>
      <c r="J324"/>
      <c r="K324"/>
      <c r="L324"/>
      <c r="M324"/>
      <c r="N324" s="2328"/>
    </row>
    <row r="325" spans="1:14" ht="14.1" customHeight="1">
      <c r="A325" s="2344"/>
      <c r="B325" s="944"/>
      <c r="C325" s="945"/>
      <c r="D325"/>
      <c r="E325"/>
      <c r="F325"/>
      <c r="G325" s="1112"/>
      <c r="H325"/>
      <c r="I325" s="1130"/>
      <c r="J325"/>
      <c r="K325"/>
      <c r="L325"/>
      <c r="M325"/>
      <c r="N325" s="2315"/>
    </row>
    <row r="326" spans="1:14" ht="14.1" customHeight="1" thickBot="1">
      <c r="A326" s="2345"/>
      <c r="B326" s="2346" t="s">
        <v>1056</v>
      </c>
      <c r="C326" s="2347"/>
      <c r="D326" s="2347"/>
      <c r="E326" s="2347"/>
      <c r="F326" s="2347"/>
      <c r="G326" s="2348"/>
      <c r="H326" s="947"/>
      <c r="I326" s="2349" t="s">
        <v>1057</v>
      </c>
      <c r="J326" s="2350"/>
      <c r="K326" s="2350"/>
      <c r="L326" s="2350"/>
      <c r="M326" s="2350"/>
      <c r="N326" s="2351"/>
    </row>
    <row r="327" spans="1:14" s="1339" customFormat="1" ht="25.5" customHeight="1" thickTop="1" thickBot="1">
      <c r="A327" s="2329" t="s">
        <v>130</v>
      </c>
      <c r="B327" s="2340" t="s">
        <v>642</v>
      </c>
      <c r="C327" s="2340"/>
      <c r="D327" s="2341" t="s">
        <v>474</v>
      </c>
      <c r="E327" s="2341"/>
      <c r="F327" s="2341"/>
      <c r="G327" s="2341"/>
      <c r="H327" s="2341"/>
      <c r="I327" s="2341"/>
      <c r="J327" s="2341"/>
      <c r="K327" s="2341"/>
      <c r="L327" s="2341"/>
      <c r="M327" s="2341"/>
      <c r="N327" s="2342"/>
    </row>
    <row r="328" spans="1:14">
      <c r="A328" s="2343" t="s">
        <v>449</v>
      </c>
      <c r="B328" s="936"/>
      <c r="C328" s="937"/>
      <c r="D328" s="1131"/>
      <c r="E328" s="1131"/>
      <c r="F328" s="1131"/>
      <c r="G328" s="938"/>
      <c r="I328" s="1129"/>
      <c r="J328" s="1131"/>
      <c r="K328" s="1131"/>
      <c r="L328" s="1131"/>
      <c r="M328" s="1131"/>
      <c r="N328" s="2327"/>
    </row>
    <row r="329" spans="1:14" ht="15">
      <c r="A329" s="2344"/>
      <c r="B329" s="940"/>
      <c r="C329" s="941"/>
      <c r="E329"/>
      <c r="F329"/>
      <c r="G329" s="1112"/>
      <c r="H329"/>
      <c r="I329" s="1130"/>
      <c r="J329"/>
      <c r="K329"/>
      <c r="L329"/>
      <c r="M329"/>
      <c r="N329" s="2328"/>
    </row>
    <row r="330" spans="1:14" ht="15">
      <c r="A330" s="2344"/>
      <c r="B330" s="940"/>
      <c r="C330" s="941"/>
      <c r="D330"/>
      <c r="E330"/>
      <c r="F330"/>
      <c r="G330" s="1112"/>
      <c r="H330"/>
      <c r="I330" s="1130"/>
      <c r="J330"/>
      <c r="K330"/>
      <c r="L330"/>
      <c r="M330"/>
      <c r="N330" s="2328"/>
    </row>
    <row r="331" spans="1:14" ht="15">
      <c r="A331" s="2344"/>
      <c r="B331" s="940"/>
      <c r="C331" s="941"/>
      <c r="D331"/>
      <c r="E331"/>
      <c r="F331"/>
      <c r="G331" s="1112"/>
      <c r="H331"/>
      <c r="I331" s="1130"/>
      <c r="J331"/>
      <c r="K331"/>
      <c r="L331"/>
      <c r="M331"/>
      <c r="N331" s="2328"/>
    </row>
    <row r="332" spans="1:14" ht="15">
      <c r="A332" s="2344"/>
      <c r="B332" s="940"/>
      <c r="C332" s="941"/>
      <c r="D332"/>
      <c r="E332"/>
      <c r="F332"/>
      <c r="G332" s="1112"/>
      <c r="H332"/>
      <c r="I332" s="1130"/>
      <c r="J332"/>
      <c r="K332"/>
      <c r="L332"/>
      <c r="M332"/>
      <c r="N332" s="2328"/>
    </row>
    <row r="333" spans="1:14" ht="15">
      <c r="A333" s="2344"/>
      <c r="B333" s="944"/>
      <c r="C333" s="945"/>
      <c r="D333"/>
      <c r="E333"/>
      <c r="F333"/>
      <c r="G333" s="1112"/>
      <c r="H333"/>
      <c r="I333" s="1130"/>
      <c r="J333"/>
      <c r="K333"/>
      <c r="L333"/>
      <c r="M333"/>
      <c r="N333" s="2328"/>
    </row>
    <row r="334" spans="1:14" ht="15">
      <c r="A334" s="2344"/>
      <c r="B334" s="944"/>
      <c r="C334" s="945"/>
      <c r="D334"/>
      <c r="E334"/>
      <c r="F334"/>
      <c r="G334" s="1112"/>
      <c r="H334"/>
      <c r="I334" s="1130"/>
      <c r="J334"/>
      <c r="K334"/>
      <c r="L334"/>
      <c r="M334"/>
      <c r="N334" s="2328"/>
    </row>
    <row r="335" spans="1:14" ht="15">
      <c r="A335" s="2344"/>
      <c r="B335" s="944"/>
      <c r="C335" s="945"/>
      <c r="D335"/>
      <c r="E335"/>
      <c r="F335"/>
      <c r="G335" s="1112"/>
      <c r="H335"/>
      <c r="I335" s="1130"/>
      <c r="J335"/>
      <c r="K335"/>
      <c r="L335"/>
      <c r="M335"/>
      <c r="N335" s="2315"/>
    </row>
    <row r="336" spans="1:14" ht="15.75" thickBot="1">
      <c r="A336" s="2345"/>
      <c r="B336" s="2346" t="s">
        <v>942</v>
      </c>
      <c r="C336" s="2347"/>
      <c r="D336" s="2347"/>
      <c r="E336" s="2347"/>
      <c r="F336" s="2347"/>
      <c r="G336" s="2348"/>
      <c r="H336" s="947"/>
      <c r="I336" s="2349" t="s">
        <v>942</v>
      </c>
      <c r="J336" s="2350"/>
      <c r="K336" s="2350"/>
      <c r="L336" s="2350"/>
      <c r="M336" s="2350"/>
      <c r="N336" s="2351"/>
    </row>
    <row r="337" spans="1:14" s="1339" customFormat="1" ht="16.899999999999999" customHeight="1" thickTop="1" thickBot="1">
      <c r="A337" s="2329" t="s">
        <v>130</v>
      </c>
      <c r="B337" s="2340" t="s">
        <v>642</v>
      </c>
      <c r="C337" s="2340"/>
      <c r="D337" s="2341" t="s">
        <v>831</v>
      </c>
      <c r="E337" s="2341"/>
      <c r="F337" s="2341"/>
      <c r="G337" s="2341"/>
      <c r="H337" s="2341"/>
      <c r="I337" s="2341"/>
      <c r="J337" s="2341"/>
      <c r="K337" s="2341"/>
      <c r="L337" s="2341"/>
      <c r="M337" s="2341"/>
      <c r="N337" s="2342"/>
    </row>
    <row r="338" spans="1:14">
      <c r="A338" s="2343" t="s">
        <v>821</v>
      </c>
      <c r="B338" s="936"/>
      <c r="C338" s="937"/>
      <c r="D338" s="1131"/>
      <c r="E338" s="1131"/>
      <c r="F338" s="1131"/>
      <c r="G338" s="938"/>
      <c r="I338" s="1129"/>
      <c r="J338" s="1131"/>
      <c r="K338" s="1131"/>
      <c r="L338" s="1131"/>
      <c r="M338" s="1131"/>
      <c r="N338" s="2327"/>
    </row>
    <row r="339" spans="1:14" ht="15">
      <c r="A339" s="2344"/>
      <c r="B339" s="940"/>
      <c r="C339" s="941"/>
      <c r="E339"/>
      <c r="F339"/>
      <c r="G339" s="1112"/>
      <c r="H339"/>
      <c r="I339" s="1130"/>
      <c r="J339"/>
      <c r="K339"/>
      <c r="L339"/>
      <c r="M339"/>
      <c r="N339" s="2328"/>
    </row>
    <row r="340" spans="1:14" ht="15">
      <c r="A340" s="2344"/>
      <c r="B340" s="940"/>
      <c r="C340" s="941"/>
      <c r="D340"/>
      <c r="E340"/>
      <c r="F340"/>
      <c r="G340" s="1112"/>
      <c r="H340"/>
      <c r="I340" s="1130"/>
      <c r="J340"/>
      <c r="K340"/>
      <c r="L340"/>
      <c r="M340"/>
      <c r="N340" s="2328"/>
    </row>
    <row r="341" spans="1:14" ht="15">
      <c r="A341" s="2344"/>
      <c r="B341" s="940"/>
      <c r="C341" s="941"/>
      <c r="D341"/>
      <c r="E341"/>
      <c r="F341"/>
      <c r="G341" s="1112"/>
      <c r="H341"/>
      <c r="I341" s="1130"/>
      <c r="J341"/>
      <c r="K341"/>
      <c r="L341"/>
      <c r="M341"/>
      <c r="N341" s="2328"/>
    </row>
    <row r="342" spans="1:14" ht="15">
      <c r="A342" s="2344"/>
      <c r="B342" s="940"/>
      <c r="C342" s="941"/>
      <c r="D342"/>
      <c r="E342"/>
      <c r="F342"/>
      <c r="G342" s="1112"/>
      <c r="H342"/>
      <c r="I342" s="1130"/>
      <c r="J342"/>
      <c r="K342"/>
      <c r="L342"/>
      <c r="M342"/>
      <c r="N342" s="2328"/>
    </row>
    <row r="343" spans="1:14" ht="15">
      <c r="A343" s="2344"/>
      <c r="B343" s="944"/>
      <c r="C343" s="945"/>
      <c r="D343"/>
      <c r="E343"/>
      <c r="F343"/>
      <c r="G343" s="1112"/>
      <c r="H343"/>
      <c r="I343" s="1130"/>
      <c r="J343"/>
      <c r="K343"/>
      <c r="L343"/>
      <c r="M343"/>
      <c r="N343" s="2328"/>
    </row>
    <row r="344" spans="1:14" ht="15">
      <c r="A344" s="2344"/>
      <c r="B344" s="944"/>
      <c r="C344" s="945"/>
      <c r="D344"/>
      <c r="E344"/>
      <c r="F344"/>
      <c r="G344" s="1112"/>
      <c r="H344"/>
      <c r="I344" s="1130"/>
      <c r="J344"/>
      <c r="K344"/>
      <c r="L344"/>
      <c r="M344"/>
      <c r="N344" s="2328"/>
    </row>
    <row r="345" spans="1:14" ht="15">
      <c r="A345" s="2344"/>
      <c r="B345" s="944"/>
      <c r="C345" s="945"/>
      <c r="D345"/>
      <c r="E345"/>
      <c r="F345"/>
      <c r="G345" s="1112"/>
      <c r="H345"/>
      <c r="I345" s="1130"/>
      <c r="J345"/>
      <c r="K345"/>
      <c r="L345"/>
      <c r="M345"/>
      <c r="N345" s="2315"/>
    </row>
    <row r="346" spans="1:14" ht="15.75" thickBot="1">
      <c r="A346" s="2345"/>
      <c r="B346" s="2346" t="s">
        <v>1058</v>
      </c>
      <c r="C346" s="2347"/>
      <c r="D346" s="2347"/>
      <c r="E346" s="2347"/>
      <c r="F346" s="2347"/>
      <c r="G346" s="2348"/>
      <c r="H346" s="947"/>
      <c r="I346" s="2349" t="s">
        <v>1058</v>
      </c>
      <c r="J346" s="2350"/>
      <c r="K346" s="2350"/>
      <c r="L346" s="2350"/>
      <c r="M346" s="2350"/>
      <c r="N346" s="2351"/>
    </row>
    <row r="347" spans="1:14" s="1339" customFormat="1" ht="16.899999999999999" customHeight="1" thickTop="1" thickBot="1">
      <c r="A347" s="2329" t="s">
        <v>130</v>
      </c>
      <c r="B347" s="2340" t="s">
        <v>642</v>
      </c>
      <c r="C347" s="2340"/>
      <c r="D347" s="2341" t="s">
        <v>837</v>
      </c>
      <c r="E347" s="2341"/>
      <c r="F347" s="2341"/>
      <c r="G347" s="2341"/>
      <c r="H347" s="2341"/>
      <c r="I347" s="2341"/>
      <c r="J347" s="2341"/>
      <c r="K347" s="2341"/>
      <c r="L347" s="2341"/>
      <c r="M347" s="2341"/>
      <c r="N347" s="2342"/>
    </row>
    <row r="348" spans="1:14">
      <c r="A348" s="2343" t="s">
        <v>825</v>
      </c>
      <c r="B348" s="936"/>
      <c r="C348" s="937"/>
      <c r="D348" s="1131"/>
      <c r="E348" s="1131"/>
      <c r="F348" s="1131"/>
      <c r="G348" s="938"/>
      <c r="I348" s="1129"/>
      <c r="J348" s="1131"/>
      <c r="K348" s="1131"/>
      <c r="L348" s="1131"/>
      <c r="M348" s="1131"/>
      <c r="N348" s="2327"/>
    </row>
    <row r="349" spans="1:14" ht="15">
      <c r="A349" s="2344"/>
      <c r="B349" s="940"/>
      <c r="C349" s="941"/>
      <c r="E349"/>
      <c r="F349"/>
      <c r="G349" s="1112"/>
      <c r="H349"/>
      <c r="I349" s="1130"/>
      <c r="J349"/>
      <c r="K349"/>
      <c r="L349"/>
      <c r="M349"/>
      <c r="N349" s="2328"/>
    </row>
    <row r="350" spans="1:14" ht="15">
      <c r="A350" s="2344"/>
      <c r="B350" s="940"/>
      <c r="C350" s="941"/>
      <c r="D350"/>
      <c r="E350"/>
      <c r="F350"/>
      <c r="G350" s="1112"/>
      <c r="H350"/>
      <c r="I350" s="1130"/>
      <c r="J350"/>
      <c r="K350"/>
      <c r="L350"/>
      <c r="M350"/>
      <c r="N350" s="2328"/>
    </row>
    <row r="351" spans="1:14" ht="15">
      <c r="A351" s="2344"/>
      <c r="B351" s="940"/>
      <c r="C351" s="941"/>
      <c r="D351"/>
      <c r="E351"/>
      <c r="F351"/>
      <c r="G351" s="1112"/>
      <c r="H351"/>
      <c r="I351" s="1130"/>
      <c r="J351"/>
      <c r="K351"/>
      <c r="L351"/>
      <c r="M351"/>
      <c r="N351" s="2328"/>
    </row>
    <row r="352" spans="1:14" ht="15">
      <c r="A352" s="2344"/>
      <c r="B352" s="940"/>
      <c r="C352" s="941"/>
      <c r="D352"/>
      <c r="E352"/>
      <c r="F352"/>
      <c r="G352" s="1112"/>
      <c r="H352"/>
      <c r="I352" s="1130"/>
      <c r="J352"/>
      <c r="K352"/>
      <c r="L352"/>
      <c r="M352"/>
      <c r="N352" s="2328"/>
    </row>
    <row r="353" spans="1:14" ht="15">
      <c r="A353" s="2344"/>
      <c r="B353" s="944"/>
      <c r="C353" s="945"/>
      <c r="D353"/>
      <c r="E353"/>
      <c r="F353"/>
      <c r="G353" s="1112"/>
      <c r="H353"/>
      <c r="I353" s="1130"/>
      <c r="J353"/>
      <c r="K353"/>
      <c r="L353"/>
      <c r="M353"/>
      <c r="N353" s="2328"/>
    </row>
    <row r="354" spans="1:14" ht="15">
      <c r="A354" s="2344"/>
      <c r="B354" s="944"/>
      <c r="C354" s="945"/>
      <c r="D354"/>
      <c r="E354"/>
      <c r="F354"/>
      <c r="G354" s="1112"/>
      <c r="H354"/>
      <c r="I354" s="1130"/>
      <c r="J354"/>
      <c r="K354"/>
      <c r="L354"/>
      <c r="M354"/>
      <c r="N354" s="2328"/>
    </row>
    <row r="355" spans="1:14" ht="15">
      <c r="A355" s="2344"/>
      <c r="B355" s="944"/>
      <c r="C355" s="945"/>
      <c r="D355"/>
      <c r="E355"/>
      <c r="F355"/>
      <c r="G355" s="1112"/>
      <c r="H355"/>
      <c r="I355" s="1130"/>
      <c r="J355"/>
      <c r="K355"/>
      <c r="L355"/>
      <c r="M355"/>
      <c r="N355" s="2315"/>
    </row>
    <row r="356" spans="1:14" ht="15.75" thickBot="1">
      <c r="A356" s="2345"/>
      <c r="B356" s="2349" t="s">
        <v>1059</v>
      </c>
      <c r="C356" s="2350"/>
      <c r="D356" s="2350"/>
      <c r="E356" s="2350"/>
      <c r="F356" s="2350"/>
      <c r="G356" s="2434"/>
      <c r="H356" s="947"/>
      <c r="I356" s="2349" t="s">
        <v>1060</v>
      </c>
      <c r="J356" s="2350"/>
      <c r="K356" s="2350"/>
      <c r="L356" s="2350"/>
      <c r="M356" s="2350"/>
      <c r="N356" s="2351"/>
    </row>
    <row r="357" spans="1:14" s="1339" customFormat="1" ht="24.75" customHeight="1" thickTop="1" thickBot="1">
      <c r="A357" s="2329" t="s">
        <v>130</v>
      </c>
      <c r="B357" s="2340" t="s">
        <v>642</v>
      </c>
      <c r="C357" s="2340"/>
      <c r="D357" s="2341" t="s">
        <v>839</v>
      </c>
      <c r="E357" s="2341"/>
      <c r="F357" s="2341"/>
      <c r="G357" s="2341"/>
      <c r="H357" s="2341"/>
      <c r="I357" s="2341"/>
      <c r="J357" s="2341"/>
      <c r="K357" s="2341"/>
      <c r="L357" s="2341"/>
      <c r="M357" s="2341"/>
      <c r="N357" s="2342"/>
    </row>
    <row r="358" spans="1:14">
      <c r="A358" s="2343" t="s">
        <v>827</v>
      </c>
      <c r="B358" s="936"/>
      <c r="C358" s="937"/>
      <c r="D358" s="1131"/>
      <c r="E358" s="1131"/>
      <c r="F358" s="1131"/>
      <c r="G358" s="938"/>
      <c r="I358" s="1129"/>
      <c r="J358" s="1131"/>
      <c r="K358" s="1131"/>
      <c r="L358" s="1131"/>
      <c r="M358" s="1131"/>
      <c r="N358" s="2327"/>
    </row>
    <row r="359" spans="1:14" ht="15">
      <c r="A359" s="2344"/>
      <c r="B359" s="940"/>
      <c r="C359" s="941"/>
      <c r="E359"/>
      <c r="F359"/>
      <c r="G359" s="1112"/>
      <c r="H359"/>
      <c r="I359" s="1130"/>
      <c r="J359"/>
      <c r="K359"/>
      <c r="L359"/>
      <c r="M359"/>
      <c r="N359" s="2328"/>
    </row>
    <row r="360" spans="1:14" ht="15">
      <c r="A360" s="2344"/>
      <c r="B360" s="940"/>
      <c r="C360" s="941"/>
      <c r="D360"/>
      <c r="E360"/>
      <c r="F360"/>
      <c r="G360" s="1112"/>
      <c r="H360"/>
      <c r="I360" s="1130"/>
      <c r="J360"/>
      <c r="K360"/>
      <c r="L360"/>
      <c r="M360"/>
      <c r="N360" s="2328"/>
    </row>
    <row r="361" spans="1:14" ht="15">
      <c r="A361" s="2344"/>
      <c r="B361" s="940"/>
      <c r="C361" s="941"/>
      <c r="D361"/>
      <c r="E361"/>
      <c r="F361"/>
      <c r="G361" s="1112"/>
      <c r="H361"/>
      <c r="I361" s="1130"/>
      <c r="J361"/>
      <c r="K361"/>
      <c r="L361"/>
      <c r="M361"/>
      <c r="N361" s="2328"/>
    </row>
    <row r="362" spans="1:14" ht="15">
      <c r="A362" s="2344"/>
      <c r="B362" s="940"/>
      <c r="C362" s="941"/>
      <c r="D362"/>
      <c r="E362"/>
      <c r="F362"/>
      <c r="G362" s="1112"/>
      <c r="H362"/>
      <c r="I362" s="1130"/>
      <c r="J362"/>
      <c r="K362"/>
      <c r="L362"/>
      <c r="M362"/>
      <c r="N362" s="2328"/>
    </row>
    <row r="363" spans="1:14" ht="15">
      <c r="A363" s="2344"/>
      <c r="B363" s="944"/>
      <c r="C363" s="945"/>
      <c r="D363"/>
      <c r="E363"/>
      <c r="F363"/>
      <c r="G363" s="1112"/>
      <c r="H363"/>
      <c r="I363" s="1130"/>
      <c r="J363"/>
      <c r="K363"/>
      <c r="L363"/>
      <c r="M363"/>
      <c r="N363" s="2328"/>
    </row>
    <row r="364" spans="1:14" ht="15">
      <c r="A364" s="2344"/>
      <c r="B364" s="944"/>
      <c r="C364" s="945"/>
      <c r="D364"/>
      <c r="E364"/>
      <c r="F364"/>
      <c r="G364" s="1112"/>
      <c r="H364"/>
      <c r="I364" s="1130"/>
      <c r="J364"/>
      <c r="K364"/>
      <c r="L364"/>
      <c r="M364"/>
      <c r="N364" s="2328"/>
    </row>
    <row r="365" spans="1:14" ht="15">
      <c r="A365" s="2344"/>
      <c r="B365" s="944"/>
      <c r="C365" s="945"/>
      <c r="D365"/>
      <c r="E365"/>
      <c r="F365"/>
      <c r="G365" s="1112"/>
      <c r="H365"/>
      <c r="I365" s="1130"/>
      <c r="J365"/>
      <c r="K365"/>
      <c r="L365"/>
      <c r="M365"/>
      <c r="N365" s="2315"/>
    </row>
    <row r="366" spans="1:14" ht="15">
      <c r="A366" s="2438"/>
      <c r="B366" s="2439" t="s">
        <v>1088</v>
      </c>
      <c r="C366" s="2440"/>
      <c r="D366" s="2440"/>
      <c r="E366" s="2440"/>
      <c r="F366" s="2440"/>
      <c r="G366" s="2441"/>
      <c r="H366" s="1560"/>
      <c r="I366" s="2439" t="s">
        <v>1088</v>
      </c>
      <c r="J366" s="2440"/>
      <c r="K366" s="2440"/>
      <c r="L366" s="2440"/>
      <c r="M366" s="2440"/>
      <c r="N366" s="2442"/>
    </row>
    <row r="367" spans="1:14" ht="13.5" hidden="1" thickTop="1">
      <c r="A367" s="2312" t="s">
        <v>130</v>
      </c>
      <c r="B367" s="2422" t="s">
        <v>642</v>
      </c>
      <c r="C367" s="2422"/>
      <c r="D367" s="2423"/>
      <c r="E367" s="2423"/>
      <c r="F367" s="2423"/>
      <c r="G367" s="2423"/>
      <c r="H367" s="2423"/>
      <c r="I367" s="2423"/>
      <c r="J367" s="2423"/>
      <c r="K367" s="2423"/>
      <c r="L367" s="2423"/>
      <c r="M367" s="2423"/>
      <c r="N367" s="2424"/>
    </row>
    <row r="368" spans="1:14" hidden="1">
      <c r="A368" s="2431"/>
      <c r="B368" s="936"/>
      <c r="C368" s="937"/>
      <c r="D368" s="1131"/>
      <c r="E368" s="1131"/>
      <c r="F368" s="1131"/>
      <c r="G368" s="938"/>
      <c r="I368" s="1129"/>
      <c r="J368" s="1131"/>
      <c r="K368" s="1131"/>
      <c r="L368" s="1131"/>
      <c r="M368" s="1131"/>
      <c r="N368" s="939"/>
    </row>
    <row r="369" spans="1:14" ht="15" hidden="1">
      <c r="A369" s="2432"/>
      <c r="B369" s="940"/>
      <c r="C369" s="941"/>
      <c r="E369"/>
      <c r="F369"/>
      <c r="G369" s="1112"/>
      <c r="H369"/>
      <c r="I369" s="1130"/>
      <c r="J369"/>
      <c r="K369"/>
      <c r="L369"/>
      <c r="M369"/>
      <c r="N369" s="942"/>
    </row>
    <row r="370" spans="1:14" ht="15" hidden="1">
      <c r="A370" s="2432"/>
      <c r="B370" s="940"/>
      <c r="C370" s="941"/>
      <c r="D370"/>
      <c r="E370"/>
      <c r="F370"/>
      <c r="G370" s="1112"/>
      <c r="H370"/>
      <c r="I370" s="1130"/>
      <c r="J370"/>
      <c r="K370"/>
      <c r="L370"/>
      <c r="M370"/>
      <c r="N370" s="942"/>
    </row>
    <row r="371" spans="1:14" ht="15" hidden="1">
      <c r="A371" s="2432"/>
      <c r="B371" s="940"/>
      <c r="C371" s="941"/>
      <c r="D371"/>
      <c r="E371"/>
      <c r="F371"/>
      <c r="G371" s="1112"/>
      <c r="H371"/>
      <c r="I371" s="1130"/>
      <c r="J371"/>
      <c r="K371"/>
      <c r="L371"/>
      <c r="M371"/>
      <c r="N371" s="942"/>
    </row>
    <row r="372" spans="1:14" ht="15" hidden="1">
      <c r="A372" s="2432"/>
      <c r="B372" s="940"/>
      <c r="C372" s="941"/>
      <c r="D372"/>
      <c r="E372"/>
      <c r="F372"/>
      <c r="G372" s="1112"/>
      <c r="H372"/>
      <c r="I372" s="1130"/>
      <c r="J372"/>
      <c r="K372"/>
      <c r="L372"/>
      <c r="M372"/>
      <c r="N372" s="942"/>
    </row>
    <row r="373" spans="1:14" ht="15" hidden="1">
      <c r="A373" s="2432"/>
      <c r="B373" s="944"/>
      <c r="C373" s="945"/>
      <c r="D373"/>
      <c r="E373"/>
      <c r="F373"/>
      <c r="G373" s="1112"/>
      <c r="H373"/>
      <c r="I373" s="1130"/>
      <c r="J373"/>
      <c r="K373"/>
      <c r="L373"/>
      <c r="M373"/>
      <c r="N373" s="942"/>
    </row>
    <row r="374" spans="1:14" ht="15" hidden="1">
      <c r="A374" s="2432"/>
      <c r="B374" s="944"/>
      <c r="C374" s="945"/>
      <c r="D374"/>
      <c r="E374"/>
      <c r="F374"/>
      <c r="G374" s="1112"/>
      <c r="H374"/>
      <c r="I374" s="1130"/>
      <c r="J374"/>
      <c r="K374"/>
      <c r="L374"/>
      <c r="M374"/>
      <c r="N374" s="942"/>
    </row>
    <row r="375" spans="1:14" ht="15" hidden="1">
      <c r="A375" s="2432"/>
      <c r="B375" s="944"/>
      <c r="C375" s="945"/>
      <c r="D375"/>
      <c r="E375"/>
      <c r="F375"/>
      <c r="G375" s="1112"/>
      <c r="H375"/>
      <c r="I375" s="1130"/>
      <c r="J375"/>
      <c r="K375"/>
      <c r="L375"/>
      <c r="M375"/>
      <c r="N375" s="946"/>
    </row>
    <row r="376" spans="1:14" ht="15.75" hidden="1" thickBot="1">
      <c r="A376" s="2433"/>
      <c r="B376" s="2346"/>
      <c r="C376" s="2347"/>
      <c r="D376" s="2347"/>
      <c r="E376" s="2347"/>
      <c r="F376" s="2347"/>
      <c r="G376" s="2348"/>
      <c r="H376" s="947"/>
      <c r="I376" s="2349"/>
      <c r="J376" s="2350"/>
      <c r="K376" s="2350"/>
      <c r="L376" s="2350"/>
      <c r="M376" s="2350"/>
      <c r="N376" s="2434"/>
    </row>
    <row r="377" spans="1:14" ht="14.25" hidden="1" thickTop="1" thickBot="1">
      <c r="A377" s="948" t="s">
        <v>130</v>
      </c>
      <c r="B377" s="2435" t="s">
        <v>642</v>
      </c>
      <c r="C377" s="2435"/>
      <c r="D377" s="2436"/>
      <c r="E377" s="2436"/>
      <c r="F377" s="2436"/>
      <c r="G377" s="2436"/>
      <c r="H377" s="2436"/>
      <c r="I377" s="2436"/>
      <c r="J377" s="2436"/>
      <c r="K377" s="2436"/>
      <c r="L377" s="2436"/>
      <c r="M377" s="2436"/>
      <c r="N377" s="2437"/>
    </row>
    <row r="378" spans="1:14" hidden="1">
      <c r="A378" s="2431"/>
      <c r="B378" s="936"/>
      <c r="C378" s="937"/>
      <c r="D378" s="1131"/>
      <c r="E378" s="1131"/>
      <c r="F378" s="1131"/>
      <c r="G378" s="938"/>
      <c r="I378" s="1129"/>
      <c r="J378" s="1131"/>
      <c r="K378" s="1131"/>
      <c r="L378" s="1131"/>
      <c r="M378" s="1131"/>
      <c r="N378" s="939"/>
    </row>
    <row r="379" spans="1:14" ht="15" hidden="1">
      <c r="A379" s="2432"/>
      <c r="B379" s="940"/>
      <c r="C379" s="941"/>
      <c r="E379"/>
      <c r="F379"/>
      <c r="G379" s="1112"/>
      <c r="H379"/>
      <c r="I379" s="1130"/>
      <c r="J379"/>
      <c r="K379"/>
      <c r="L379"/>
      <c r="M379"/>
      <c r="N379" s="942"/>
    </row>
    <row r="380" spans="1:14" ht="15" hidden="1">
      <c r="A380" s="2432"/>
      <c r="B380" s="940"/>
      <c r="C380" s="941"/>
      <c r="D380"/>
      <c r="E380"/>
      <c r="F380"/>
      <c r="G380" s="1112"/>
      <c r="H380"/>
      <c r="I380" s="1130"/>
      <c r="J380"/>
      <c r="K380"/>
      <c r="L380"/>
      <c r="M380"/>
      <c r="N380" s="942"/>
    </row>
    <row r="381" spans="1:14" ht="15" hidden="1">
      <c r="A381" s="2432"/>
      <c r="B381" s="940"/>
      <c r="C381" s="941"/>
      <c r="D381"/>
      <c r="E381"/>
      <c r="F381"/>
      <c r="G381" s="1112"/>
      <c r="H381"/>
      <c r="I381" s="1130"/>
      <c r="J381"/>
      <c r="K381"/>
      <c r="L381"/>
      <c r="M381"/>
      <c r="N381" s="942"/>
    </row>
    <row r="382" spans="1:14" ht="15" hidden="1">
      <c r="A382" s="2432"/>
      <c r="B382" s="940"/>
      <c r="C382" s="941"/>
      <c r="D382"/>
      <c r="E382"/>
      <c r="F382"/>
      <c r="G382" s="1112"/>
      <c r="H382"/>
      <c r="I382" s="1130"/>
      <c r="J382"/>
      <c r="K382"/>
      <c r="L382"/>
      <c r="M382"/>
      <c r="N382" s="942"/>
    </row>
    <row r="383" spans="1:14" ht="15" hidden="1">
      <c r="A383" s="2432"/>
      <c r="B383" s="944"/>
      <c r="C383" s="945"/>
      <c r="D383"/>
      <c r="E383"/>
      <c r="F383"/>
      <c r="G383" s="1112"/>
      <c r="H383"/>
      <c r="I383" s="1130"/>
      <c r="J383"/>
      <c r="K383"/>
      <c r="L383"/>
      <c r="M383"/>
      <c r="N383" s="942"/>
    </row>
    <row r="384" spans="1:14" ht="15" hidden="1">
      <c r="A384" s="2432"/>
      <c r="B384" s="944"/>
      <c r="C384" s="945"/>
      <c r="D384"/>
      <c r="E384"/>
      <c r="F384"/>
      <c r="G384" s="1112"/>
      <c r="H384"/>
      <c r="I384" s="1130"/>
      <c r="J384"/>
      <c r="K384"/>
      <c r="L384"/>
      <c r="M384"/>
      <c r="N384" s="942"/>
    </row>
    <row r="385" spans="1:14" ht="15" hidden="1">
      <c r="A385" s="2432"/>
      <c r="B385" s="944"/>
      <c r="C385" s="945"/>
      <c r="D385"/>
      <c r="E385"/>
      <c r="F385"/>
      <c r="G385" s="1112"/>
      <c r="H385"/>
      <c r="I385" s="1130"/>
      <c r="J385"/>
      <c r="K385"/>
      <c r="L385"/>
      <c r="M385"/>
      <c r="N385" s="946"/>
    </row>
    <row r="386" spans="1:14" ht="15.75" hidden="1" thickBot="1">
      <c r="A386" s="2433"/>
      <c r="B386" s="2346"/>
      <c r="C386" s="2347"/>
      <c r="D386" s="2347"/>
      <c r="E386" s="2347"/>
      <c r="F386" s="2347"/>
      <c r="G386" s="2348"/>
      <c r="H386" s="947"/>
      <c r="I386" s="2349"/>
      <c r="J386" s="2350"/>
      <c r="K386" s="2350"/>
      <c r="L386" s="2350"/>
      <c r="M386" s="2350"/>
      <c r="N386" s="2434"/>
    </row>
    <row r="387" spans="1:14" ht="13.5" hidden="1" thickTop="1">
      <c r="A387" s="951"/>
      <c r="B387" s="952"/>
      <c r="C387" s="952"/>
    </row>
    <row r="388" spans="1:14" ht="15" hidden="1">
      <c r="A388" s="951"/>
      <c r="B388" s="941"/>
      <c r="C388" s="941"/>
      <c r="E388"/>
      <c r="F388"/>
      <c r="G388"/>
      <c r="H388"/>
      <c r="I388"/>
      <c r="J388"/>
      <c r="K388"/>
      <c r="L388"/>
      <c r="M388"/>
      <c r="N388" s="943"/>
    </row>
    <row r="389" spans="1:14" ht="15">
      <c r="A389" s="951"/>
      <c r="B389" s="941"/>
      <c r="C389" s="941"/>
      <c r="D389"/>
      <c r="E389"/>
      <c r="F389"/>
      <c r="G389"/>
      <c r="H389"/>
      <c r="I389"/>
      <c r="J389"/>
      <c r="K389"/>
      <c r="L389"/>
      <c r="M389"/>
      <c r="N389" s="943"/>
    </row>
    <row r="390" spans="1:14" ht="15">
      <c r="A390" s="951"/>
      <c r="B390" s="941"/>
      <c r="C390" s="941"/>
      <c r="D390"/>
      <c r="E390"/>
      <c r="F390"/>
      <c r="G390"/>
      <c r="H390"/>
      <c r="I390"/>
      <c r="J390"/>
      <c r="K390"/>
      <c r="L390"/>
      <c r="M390"/>
      <c r="N390" s="943"/>
    </row>
    <row r="391" spans="1:14" ht="15">
      <c r="A391" s="951"/>
      <c r="B391" s="941"/>
      <c r="C391" s="941"/>
      <c r="D391"/>
      <c r="E391"/>
      <c r="F391"/>
      <c r="G391"/>
      <c r="H391"/>
      <c r="I391"/>
      <c r="J391"/>
      <c r="K391"/>
      <c r="L391"/>
      <c r="M391"/>
      <c r="N391" s="943"/>
    </row>
    <row r="392" spans="1:14" ht="15">
      <c r="A392" s="951"/>
      <c r="B392" s="945"/>
      <c r="C392" s="945"/>
      <c r="D392"/>
      <c r="E392"/>
      <c r="F392"/>
      <c r="G392"/>
      <c r="H392"/>
      <c r="I392"/>
      <c r="J392"/>
      <c r="K392"/>
      <c r="L392"/>
      <c r="M392"/>
      <c r="N392" s="943"/>
    </row>
    <row r="393" spans="1:14" ht="15">
      <c r="A393" s="951"/>
      <c r="B393" s="945"/>
      <c r="C393" s="945"/>
      <c r="D393"/>
      <c r="E393"/>
      <c r="F393"/>
      <c r="G393"/>
      <c r="H393"/>
      <c r="I393"/>
      <c r="J393"/>
      <c r="K393"/>
      <c r="L393"/>
      <c r="M393"/>
      <c r="N393" s="943"/>
    </row>
    <row r="394" spans="1:14" ht="15">
      <c r="A394" s="951"/>
      <c r="B394" s="945"/>
      <c r="C394" s="945"/>
      <c r="D394"/>
      <c r="E394"/>
      <c r="F394"/>
      <c r="G394"/>
      <c r="H394"/>
      <c r="I394"/>
      <c r="J394"/>
      <c r="K394"/>
      <c r="L394"/>
      <c r="M394"/>
      <c r="N394"/>
    </row>
    <row r="395" spans="1:14" ht="15">
      <c r="A395" s="951"/>
      <c r="B395" s="945"/>
      <c r="C395" s="945"/>
      <c r="D395"/>
      <c r="E395"/>
      <c r="F395"/>
      <c r="G395"/>
      <c r="H395"/>
      <c r="I395"/>
      <c r="J395"/>
      <c r="K395"/>
      <c r="L395"/>
      <c r="M395"/>
      <c r="N395"/>
    </row>
    <row r="396" spans="1:14" ht="15">
      <c r="A396" s="945"/>
      <c r="B396" s="945"/>
      <c r="C396" s="945"/>
      <c r="D396"/>
      <c r="E396"/>
      <c r="F396"/>
      <c r="G396"/>
      <c r="H396"/>
      <c r="I396"/>
      <c r="J396"/>
      <c r="K396"/>
      <c r="L396"/>
      <c r="M396"/>
      <c r="N396"/>
    </row>
    <row r="397" spans="1:14">
      <c r="A397" s="949"/>
      <c r="B397" s="950"/>
      <c r="C397" s="950"/>
      <c r="D397" s="950"/>
      <c r="E397" s="950"/>
      <c r="F397" s="950"/>
      <c r="G397" s="950"/>
      <c r="H397" s="950"/>
      <c r="I397" s="950"/>
      <c r="J397" s="950"/>
      <c r="K397" s="950"/>
      <c r="L397" s="950"/>
      <c r="M397" s="950"/>
      <c r="N397" s="950"/>
    </row>
    <row r="398" spans="1:14">
      <c r="A398" s="951"/>
      <c r="B398" s="952"/>
      <c r="C398" s="952"/>
    </row>
    <row r="399" spans="1:14" ht="15">
      <c r="A399" s="951"/>
      <c r="B399" s="941"/>
      <c r="C399" s="941"/>
      <c r="E399"/>
      <c r="F399"/>
      <c r="G399"/>
      <c r="H399"/>
      <c r="I399"/>
      <c r="J399"/>
      <c r="K399"/>
      <c r="L399"/>
      <c r="M399"/>
      <c r="N399" s="943"/>
    </row>
    <row r="400" spans="1:14" ht="15">
      <c r="A400" s="951"/>
      <c r="B400" s="941"/>
      <c r="C400" s="941"/>
      <c r="D400"/>
      <c r="E400"/>
      <c r="F400"/>
      <c r="G400"/>
      <c r="H400"/>
      <c r="I400"/>
      <c r="J400"/>
      <c r="K400"/>
      <c r="L400"/>
      <c r="M400"/>
      <c r="N400" s="943"/>
    </row>
    <row r="401" spans="1:14" ht="15">
      <c r="A401" s="951"/>
      <c r="B401" s="941"/>
      <c r="C401" s="941"/>
      <c r="D401"/>
      <c r="E401"/>
      <c r="F401"/>
      <c r="G401"/>
      <c r="H401"/>
      <c r="I401"/>
      <c r="J401"/>
      <c r="K401"/>
      <c r="L401"/>
      <c r="M401"/>
      <c r="N401" s="943"/>
    </row>
    <row r="402" spans="1:14" ht="15">
      <c r="A402" s="951"/>
      <c r="B402" s="941"/>
      <c r="C402" s="941"/>
      <c r="D402"/>
      <c r="E402"/>
      <c r="F402"/>
      <c r="G402"/>
      <c r="H402"/>
      <c r="I402"/>
      <c r="J402"/>
      <c r="K402"/>
      <c r="L402"/>
      <c r="M402"/>
      <c r="N402" s="943"/>
    </row>
    <row r="403" spans="1:14" ht="15">
      <c r="A403" s="951"/>
      <c r="B403" s="945"/>
      <c r="C403" s="945"/>
      <c r="D403"/>
      <c r="E403"/>
      <c r="F403"/>
      <c r="G403"/>
      <c r="H403"/>
      <c r="I403"/>
      <c r="J403"/>
      <c r="K403"/>
      <c r="L403"/>
      <c r="M403"/>
      <c r="N403" s="943"/>
    </row>
    <row r="404" spans="1:14" ht="15">
      <c r="A404" s="951"/>
      <c r="B404" s="945"/>
      <c r="C404" s="945"/>
      <c r="D404"/>
      <c r="E404"/>
      <c r="F404"/>
      <c r="G404"/>
      <c r="H404"/>
      <c r="I404"/>
      <c r="J404"/>
      <c r="K404"/>
      <c r="L404"/>
      <c r="M404"/>
      <c r="N404" s="943"/>
    </row>
    <row r="405" spans="1:14" ht="15">
      <c r="A405" s="951"/>
      <c r="B405" s="945"/>
      <c r="C405" s="945"/>
      <c r="D405"/>
      <c r="E405"/>
      <c r="F405"/>
      <c r="G405"/>
      <c r="H405"/>
      <c r="I405"/>
      <c r="J405"/>
      <c r="K405"/>
      <c r="L405"/>
      <c r="M405"/>
      <c r="N405"/>
    </row>
    <row r="406" spans="1:14" ht="15">
      <c r="A406" s="951"/>
      <c r="B406" s="945"/>
      <c r="C406" s="945"/>
      <c r="D406"/>
      <c r="E406"/>
      <c r="F406"/>
      <c r="G406"/>
      <c r="H406"/>
      <c r="I406"/>
      <c r="J406"/>
      <c r="K406"/>
      <c r="L406"/>
      <c r="M406"/>
      <c r="N406"/>
    </row>
    <row r="407" spans="1:14" ht="15">
      <c r="A407" s="945"/>
      <c r="B407" s="945"/>
      <c r="C407" s="945"/>
      <c r="D407"/>
      <c r="E407"/>
      <c r="F407"/>
      <c r="G407"/>
      <c r="H407"/>
      <c r="I407"/>
      <c r="J407"/>
      <c r="K407"/>
      <c r="L407"/>
      <c r="M407"/>
      <c r="N407"/>
    </row>
    <row r="408" spans="1:14">
      <c r="A408" s="949"/>
      <c r="B408" s="950"/>
      <c r="C408" s="950"/>
      <c r="D408" s="950"/>
      <c r="E408" s="950"/>
      <c r="F408" s="950"/>
      <c r="G408" s="950"/>
      <c r="H408" s="950"/>
      <c r="I408" s="950"/>
      <c r="J408" s="950"/>
      <c r="K408" s="950"/>
      <c r="L408" s="950"/>
      <c r="M408" s="950"/>
      <c r="N408" s="950"/>
    </row>
    <row r="409" spans="1:14">
      <c r="A409" s="951"/>
      <c r="B409" s="952"/>
      <c r="C409" s="952"/>
    </row>
    <row r="410" spans="1:14" ht="15">
      <c r="A410" s="951"/>
      <c r="B410" s="941"/>
      <c r="C410" s="941"/>
      <c r="E410"/>
      <c r="F410"/>
      <c r="G410"/>
      <c r="H410"/>
      <c r="I410"/>
      <c r="J410"/>
      <c r="K410"/>
      <c r="L410"/>
      <c r="M410"/>
      <c r="N410" s="943"/>
    </row>
    <row r="411" spans="1:14" ht="15">
      <c r="A411" s="951"/>
      <c r="B411" s="941"/>
      <c r="C411" s="941"/>
      <c r="D411"/>
      <c r="E411"/>
      <c r="F411"/>
      <c r="G411"/>
      <c r="H411"/>
      <c r="I411"/>
      <c r="J411"/>
      <c r="K411"/>
      <c r="L411"/>
      <c r="M411"/>
      <c r="N411" s="943"/>
    </row>
    <row r="412" spans="1:14" ht="15">
      <c r="A412" s="951"/>
      <c r="B412" s="941"/>
      <c r="C412" s="941"/>
      <c r="D412"/>
      <c r="E412"/>
      <c r="F412"/>
      <c r="G412"/>
      <c r="H412"/>
      <c r="I412"/>
      <c r="J412"/>
      <c r="K412"/>
      <c r="L412"/>
      <c r="M412"/>
      <c r="N412" s="943"/>
    </row>
    <row r="413" spans="1:14" ht="15">
      <c r="A413" s="951"/>
      <c r="B413" s="941"/>
      <c r="C413" s="941"/>
      <c r="D413"/>
      <c r="E413"/>
      <c r="F413"/>
      <c r="G413"/>
      <c r="H413"/>
      <c r="I413"/>
      <c r="J413"/>
      <c r="K413"/>
      <c r="L413"/>
      <c r="M413"/>
      <c r="N413" s="943"/>
    </row>
    <row r="414" spans="1:14" ht="15">
      <c r="A414" s="951"/>
      <c r="B414" s="945"/>
      <c r="C414" s="945"/>
      <c r="D414"/>
      <c r="E414"/>
      <c r="F414"/>
      <c r="G414"/>
      <c r="H414"/>
      <c r="I414"/>
      <c r="J414"/>
      <c r="K414"/>
      <c r="L414"/>
      <c r="M414"/>
      <c r="N414" s="943"/>
    </row>
    <row r="415" spans="1:14" ht="15">
      <c r="A415" s="951"/>
      <c r="B415" s="945"/>
      <c r="C415" s="945"/>
      <c r="D415"/>
      <c r="E415"/>
      <c r="F415"/>
      <c r="G415"/>
      <c r="H415"/>
      <c r="I415"/>
      <c r="J415"/>
      <c r="K415"/>
      <c r="L415"/>
      <c r="M415"/>
      <c r="N415" s="943"/>
    </row>
    <row r="416" spans="1:14" ht="15">
      <c r="A416" s="951"/>
      <c r="B416" s="945"/>
      <c r="C416" s="945"/>
      <c r="D416"/>
      <c r="E416"/>
      <c r="F416"/>
      <c r="G416"/>
      <c r="H416"/>
      <c r="I416"/>
      <c r="J416"/>
      <c r="K416"/>
      <c r="L416"/>
      <c r="M416"/>
      <c r="N416"/>
    </row>
    <row r="417" spans="1:14" ht="15">
      <c r="A417" s="951"/>
      <c r="B417" s="945"/>
      <c r="C417" s="945"/>
      <c r="D417"/>
      <c r="E417"/>
      <c r="F417"/>
      <c r="G417"/>
      <c r="H417"/>
      <c r="I417"/>
      <c r="J417"/>
      <c r="K417"/>
      <c r="L417"/>
      <c r="M417"/>
      <c r="N417"/>
    </row>
    <row r="418" spans="1:14" ht="15">
      <c r="A418" s="945"/>
      <c r="B418" s="945"/>
      <c r="C418" s="945"/>
      <c r="D418"/>
      <c r="E418"/>
      <c r="F418"/>
      <c r="G418"/>
      <c r="H418"/>
      <c r="I418"/>
      <c r="J418"/>
      <c r="K418"/>
      <c r="L418"/>
      <c r="M418"/>
      <c r="N418"/>
    </row>
    <row r="419" spans="1:14">
      <c r="A419" s="949"/>
      <c r="B419" s="950"/>
      <c r="C419" s="950"/>
      <c r="D419" s="950"/>
      <c r="E419" s="950"/>
      <c r="F419" s="950"/>
      <c r="G419" s="950"/>
      <c r="H419" s="950"/>
      <c r="I419" s="950"/>
      <c r="J419" s="950"/>
      <c r="K419" s="950"/>
      <c r="L419" s="950"/>
      <c r="M419" s="950"/>
      <c r="N419" s="950"/>
    </row>
    <row r="420" spans="1:14">
      <c r="A420" s="951"/>
      <c r="B420" s="952"/>
      <c r="C420" s="952"/>
    </row>
    <row r="421" spans="1:14" ht="15">
      <c r="A421" s="951"/>
      <c r="B421" s="941"/>
      <c r="C421" s="941"/>
      <c r="E421"/>
      <c r="F421"/>
      <c r="G421"/>
      <c r="H421"/>
      <c r="I421"/>
      <c r="J421"/>
      <c r="K421"/>
      <c r="L421"/>
      <c r="M421"/>
      <c r="N421" s="943"/>
    </row>
    <row r="422" spans="1:14" ht="15">
      <c r="A422" s="951"/>
      <c r="B422" s="941"/>
      <c r="C422" s="941"/>
      <c r="D422"/>
      <c r="E422"/>
      <c r="F422"/>
      <c r="G422"/>
      <c r="H422"/>
      <c r="I422"/>
      <c r="J422"/>
      <c r="K422"/>
      <c r="L422"/>
      <c r="M422"/>
      <c r="N422" s="943"/>
    </row>
    <row r="423" spans="1:14" ht="15">
      <c r="A423" s="951"/>
      <c r="B423" s="941"/>
      <c r="C423" s="941"/>
      <c r="D423"/>
      <c r="E423"/>
      <c r="F423"/>
      <c r="G423"/>
      <c r="H423"/>
      <c r="I423"/>
      <c r="J423"/>
      <c r="K423"/>
      <c r="L423"/>
      <c r="M423"/>
      <c r="N423" s="943"/>
    </row>
    <row r="424" spans="1:14" ht="15">
      <c r="A424" s="951"/>
      <c r="B424" s="941"/>
      <c r="C424" s="941"/>
      <c r="D424"/>
      <c r="E424"/>
      <c r="F424"/>
      <c r="G424"/>
      <c r="H424"/>
      <c r="I424"/>
      <c r="J424"/>
      <c r="K424"/>
      <c r="L424"/>
      <c r="M424"/>
      <c r="N424" s="943"/>
    </row>
    <row r="425" spans="1:14" ht="15">
      <c r="A425" s="951"/>
      <c r="B425" s="945"/>
      <c r="C425" s="945"/>
      <c r="D425"/>
      <c r="E425"/>
      <c r="F425"/>
      <c r="G425"/>
      <c r="H425"/>
      <c r="I425"/>
      <c r="J425"/>
      <c r="K425"/>
      <c r="L425"/>
      <c r="M425"/>
      <c r="N425" s="943"/>
    </row>
    <row r="426" spans="1:14" ht="15">
      <c r="A426" s="951"/>
      <c r="B426" s="945"/>
      <c r="C426" s="945"/>
      <c r="D426"/>
      <c r="E426"/>
      <c r="F426"/>
      <c r="G426"/>
      <c r="H426"/>
      <c r="I426"/>
      <c r="J426"/>
      <c r="K426"/>
      <c r="L426"/>
      <c r="M426"/>
      <c r="N426" s="943"/>
    </row>
    <row r="427" spans="1:14" ht="15">
      <c r="A427" s="951"/>
      <c r="B427" s="945"/>
      <c r="C427" s="945"/>
      <c r="D427"/>
      <c r="E427"/>
      <c r="F427"/>
      <c r="G427"/>
      <c r="H427"/>
      <c r="I427"/>
      <c r="J427"/>
      <c r="K427"/>
      <c r="L427"/>
      <c r="M427"/>
      <c r="N427"/>
    </row>
    <row r="428" spans="1:14" ht="15">
      <c r="A428" s="951"/>
      <c r="B428" s="945"/>
      <c r="C428" s="945"/>
      <c r="D428"/>
      <c r="E428"/>
      <c r="F428"/>
      <c r="G428"/>
      <c r="H428"/>
      <c r="I428"/>
      <c r="J428"/>
      <c r="K428"/>
      <c r="L428"/>
      <c r="M428"/>
      <c r="N428"/>
    </row>
    <row r="429" spans="1:14" ht="15">
      <c r="A429" s="945"/>
      <c r="B429" s="945"/>
      <c r="C429" s="945"/>
      <c r="D429"/>
      <c r="E429"/>
      <c r="F429"/>
      <c r="G429"/>
      <c r="H429"/>
      <c r="I429"/>
      <c r="J429"/>
      <c r="K429"/>
      <c r="L429"/>
      <c r="M429"/>
      <c r="N429"/>
    </row>
    <row r="430" spans="1:14">
      <c r="A430" s="949"/>
      <c r="B430" s="950"/>
      <c r="C430" s="950"/>
      <c r="D430" s="950"/>
      <c r="E430" s="950"/>
      <c r="F430" s="950"/>
      <c r="G430" s="950"/>
      <c r="H430" s="950"/>
      <c r="I430" s="950"/>
      <c r="J430" s="950"/>
      <c r="K430" s="950"/>
      <c r="L430" s="950"/>
      <c r="M430" s="950"/>
      <c r="N430" s="950"/>
    </row>
    <row r="431" spans="1:14">
      <c r="A431" s="951"/>
      <c r="B431" s="952"/>
      <c r="C431" s="952"/>
    </row>
    <row r="432" spans="1:14" ht="15">
      <c r="A432" s="951"/>
      <c r="B432" s="941"/>
      <c r="C432" s="941"/>
      <c r="E432"/>
      <c r="F432"/>
      <c r="G432"/>
      <c r="H432"/>
      <c r="I432"/>
      <c r="J432"/>
      <c r="K432"/>
      <c r="L432"/>
      <c r="M432"/>
      <c r="N432" s="943"/>
    </row>
    <row r="433" spans="1:14" ht="15">
      <c r="A433" s="951"/>
      <c r="B433" s="941"/>
      <c r="C433" s="941"/>
      <c r="D433"/>
      <c r="E433"/>
      <c r="F433"/>
      <c r="G433"/>
      <c r="H433"/>
      <c r="I433"/>
      <c r="J433"/>
      <c r="K433"/>
      <c r="L433"/>
      <c r="M433"/>
      <c r="N433" s="943"/>
    </row>
    <row r="434" spans="1:14" ht="15">
      <c r="A434" s="951"/>
      <c r="B434" s="941"/>
      <c r="C434" s="941"/>
      <c r="D434"/>
      <c r="E434"/>
      <c r="F434"/>
      <c r="G434"/>
      <c r="H434"/>
      <c r="I434"/>
      <c r="J434"/>
      <c r="K434"/>
      <c r="L434"/>
      <c r="M434"/>
      <c r="N434" s="943"/>
    </row>
    <row r="435" spans="1:14" ht="15">
      <c r="A435" s="951"/>
      <c r="B435" s="941"/>
      <c r="C435" s="941"/>
      <c r="D435"/>
      <c r="E435"/>
      <c r="F435"/>
      <c r="G435"/>
      <c r="H435"/>
      <c r="I435"/>
      <c r="J435"/>
      <c r="K435"/>
      <c r="L435"/>
      <c r="M435"/>
      <c r="N435" s="943"/>
    </row>
    <row r="436" spans="1:14" ht="15">
      <c r="A436" s="951"/>
      <c r="B436" s="945"/>
      <c r="C436" s="945"/>
      <c r="D436"/>
      <c r="E436"/>
      <c r="F436"/>
      <c r="G436"/>
      <c r="H436"/>
      <c r="I436"/>
      <c r="J436"/>
      <c r="K436"/>
      <c r="L436"/>
      <c r="M436"/>
      <c r="N436" s="943"/>
    </row>
    <row r="437" spans="1:14" ht="15">
      <c r="A437" s="951"/>
      <c r="B437" s="945"/>
      <c r="C437" s="945"/>
      <c r="D437"/>
      <c r="E437"/>
      <c r="F437"/>
      <c r="G437"/>
      <c r="H437"/>
      <c r="I437"/>
      <c r="J437"/>
      <c r="K437"/>
      <c r="L437"/>
      <c r="M437"/>
      <c r="N437" s="943"/>
    </row>
    <row r="438" spans="1:14" ht="15">
      <c r="A438" s="951"/>
      <c r="B438" s="945"/>
      <c r="C438" s="945"/>
      <c r="D438"/>
      <c r="E438"/>
      <c r="F438"/>
      <c r="G438"/>
      <c r="H438"/>
      <c r="I438"/>
      <c r="J438"/>
      <c r="K438"/>
      <c r="L438"/>
      <c r="M438"/>
      <c r="N438"/>
    </row>
    <row r="439" spans="1:14" ht="15">
      <c r="A439" s="951"/>
      <c r="B439" s="945"/>
      <c r="C439" s="945"/>
      <c r="D439"/>
      <c r="E439"/>
      <c r="F439"/>
      <c r="G439"/>
      <c r="H439"/>
      <c r="I439"/>
      <c r="J439"/>
      <c r="K439"/>
      <c r="L439"/>
      <c r="M439"/>
      <c r="N439"/>
    </row>
    <row r="440" spans="1:14" ht="15">
      <c r="A440" s="945"/>
      <c r="B440" s="945"/>
      <c r="C440" s="945"/>
      <c r="D440"/>
      <c r="E440"/>
      <c r="F440"/>
      <c r="G440"/>
      <c r="H440"/>
      <c r="I440"/>
      <c r="J440"/>
      <c r="K440"/>
      <c r="L440"/>
      <c r="M440"/>
      <c r="N440"/>
    </row>
    <row r="441" spans="1:14">
      <c r="A441" s="949"/>
      <c r="B441" s="950"/>
      <c r="C441" s="950"/>
      <c r="D441" s="950"/>
      <c r="E441" s="950"/>
      <c r="F441" s="950"/>
      <c r="G441" s="950"/>
      <c r="H441" s="950"/>
      <c r="I441" s="950"/>
      <c r="J441" s="950"/>
      <c r="K441" s="950"/>
      <c r="L441" s="950"/>
      <c r="M441" s="950"/>
      <c r="N441" s="950"/>
    </row>
    <row r="442" spans="1:14">
      <c r="A442" s="951"/>
      <c r="B442" s="952"/>
      <c r="C442" s="952"/>
    </row>
    <row r="443" spans="1:14" ht="15">
      <c r="A443" s="951"/>
      <c r="B443" s="941"/>
      <c r="C443" s="941"/>
      <c r="E443"/>
      <c r="F443"/>
      <c r="G443"/>
      <c r="H443"/>
      <c r="I443"/>
      <c r="J443"/>
      <c r="K443"/>
      <c r="L443"/>
      <c r="M443"/>
      <c r="N443" s="943"/>
    </row>
    <row r="444" spans="1:14" ht="15">
      <c r="A444" s="951"/>
      <c r="B444" s="941"/>
      <c r="C444" s="941"/>
      <c r="D444"/>
      <c r="E444"/>
      <c r="F444"/>
      <c r="G444"/>
      <c r="H444"/>
      <c r="I444"/>
      <c r="J444"/>
      <c r="K444"/>
      <c r="L444"/>
      <c r="M444"/>
      <c r="N444" s="943"/>
    </row>
    <row r="445" spans="1:14" ht="15">
      <c r="A445" s="951"/>
      <c r="B445" s="941"/>
      <c r="C445" s="941"/>
      <c r="D445"/>
      <c r="E445"/>
      <c r="F445"/>
      <c r="G445"/>
      <c r="H445"/>
      <c r="I445"/>
      <c r="J445"/>
      <c r="K445"/>
      <c r="L445"/>
      <c r="M445"/>
      <c r="N445" s="943"/>
    </row>
    <row r="446" spans="1:14" ht="15">
      <c r="A446" s="951"/>
      <c r="B446" s="941"/>
      <c r="C446" s="941"/>
      <c r="D446"/>
      <c r="E446"/>
      <c r="F446"/>
      <c r="G446"/>
      <c r="H446"/>
      <c r="I446"/>
      <c r="J446"/>
      <c r="K446"/>
      <c r="L446"/>
      <c r="M446"/>
      <c r="N446" s="943"/>
    </row>
    <row r="447" spans="1:14" ht="15">
      <c r="A447" s="951"/>
      <c r="B447" s="945"/>
      <c r="C447" s="945"/>
      <c r="D447"/>
      <c r="E447"/>
      <c r="F447"/>
      <c r="G447"/>
      <c r="H447"/>
      <c r="I447"/>
      <c r="J447"/>
      <c r="K447"/>
      <c r="L447"/>
      <c r="M447"/>
      <c r="N447" s="943"/>
    </row>
    <row r="448" spans="1:14" ht="15">
      <c r="A448" s="951"/>
      <c r="B448" s="945"/>
      <c r="C448" s="945"/>
      <c r="D448"/>
      <c r="E448"/>
      <c r="F448"/>
      <c r="G448"/>
      <c r="H448"/>
      <c r="I448"/>
      <c r="J448"/>
      <c r="K448"/>
      <c r="L448"/>
      <c r="M448"/>
      <c r="N448" s="943"/>
    </row>
    <row r="449" spans="1:14" ht="15">
      <c r="A449" s="951"/>
      <c r="B449" s="945"/>
      <c r="C449" s="945"/>
      <c r="D449"/>
      <c r="E449"/>
      <c r="F449"/>
      <c r="G449"/>
      <c r="H449"/>
      <c r="I449"/>
      <c r="J449"/>
      <c r="K449"/>
      <c r="L449"/>
      <c r="M449"/>
      <c r="N449"/>
    </row>
    <row r="450" spans="1:14" ht="15">
      <c r="A450" s="951"/>
      <c r="B450" s="945"/>
      <c r="C450" s="945"/>
      <c r="D450"/>
      <c r="E450"/>
      <c r="F450"/>
      <c r="G450"/>
      <c r="H450"/>
      <c r="I450"/>
      <c r="J450"/>
      <c r="K450"/>
      <c r="L450"/>
      <c r="M450"/>
      <c r="N450"/>
    </row>
    <row r="451" spans="1:14" ht="15">
      <c r="A451" s="945"/>
      <c r="B451" s="945"/>
      <c r="C451" s="945"/>
      <c r="D451"/>
      <c r="E451"/>
      <c r="F451"/>
      <c r="G451"/>
      <c r="H451"/>
      <c r="I451"/>
      <c r="J451"/>
      <c r="K451"/>
      <c r="L451"/>
      <c r="M451"/>
      <c r="N451"/>
    </row>
    <row r="452" spans="1:14">
      <c r="A452" s="949"/>
      <c r="B452" s="950"/>
      <c r="C452" s="950"/>
      <c r="D452" s="950"/>
      <c r="E452" s="950"/>
      <c r="F452" s="950"/>
      <c r="G452" s="950"/>
      <c r="H452" s="950"/>
      <c r="I452" s="950"/>
      <c r="J452" s="950"/>
      <c r="K452" s="950"/>
      <c r="L452" s="950"/>
      <c r="M452" s="950"/>
      <c r="N452" s="950"/>
    </row>
    <row r="453" spans="1:14">
      <c r="A453" s="951"/>
      <c r="B453" s="952"/>
      <c r="C453" s="952"/>
    </row>
    <row r="454" spans="1:14" ht="15">
      <c r="A454" s="951"/>
      <c r="B454" s="941"/>
      <c r="C454" s="941"/>
      <c r="E454"/>
      <c r="F454"/>
      <c r="G454"/>
      <c r="H454"/>
      <c r="I454"/>
      <c r="J454"/>
      <c r="K454"/>
      <c r="L454"/>
      <c r="M454"/>
      <c r="N454" s="943"/>
    </row>
    <row r="455" spans="1:14" ht="15">
      <c r="A455" s="951"/>
      <c r="B455" s="941"/>
      <c r="C455" s="941"/>
      <c r="D455"/>
      <c r="E455"/>
      <c r="F455"/>
      <c r="G455"/>
      <c r="H455"/>
      <c r="I455"/>
      <c r="J455"/>
      <c r="K455"/>
      <c r="L455"/>
      <c r="M455"/>
      <c r="N455" s="943"/>
    </row>
    <row r="456" spans="1:14" ht="15">
      <c r="A456" s="951"/>
      <c r="B456" s="941"/>
      <c r="C456" s="941"/>
      <c r="D456"/>
      <c r="E456"/>
      <c r="F456"/>
      <c r="G456"/>
      <c r="H456"/>
      <c r="I456"/>
      <c r="J456"/>
      <c r="K456"/>
      <c r="L456"/>
      <c r="M456"/>
      <c r="N456" s="943"/>
    </row>
    <row r="457" spans="1:14" ht="15">
      <c r="A457" s="951"/>
      <c r="B457" s="941"/>
      <c r="C457" s="941"/>
      <c r="D457"/>
      <c r="E457"/>
      <c r="F457"/>
      <c r="G457"/>
      <c r="H457"/>
      <c r="I457"/>
      <c r="J457"/>
      <c r="K457"/>
      <c r="L457"/>
      <c r="M457"/>
      <c r="N457" s="943"/>
    </row>
    <row r="458" spans="1:14" ht="15">
      <c r="A458" s="951"/>
      <c r="B458" s="945"/>
      <c r="C458" s="945"/>
      <c r="D458"/>
      <c r="E458"/>
      <c r="F458"/>
      <c r="G458"/>
      <c r="H458"/>
      <c r="I458"/>
      <c r="J458"/>
      <c r="K458"/>
      <c r="L458"/>
      <c r="M458"/>
      <c r="N458" s="943"/>
    </row>
    <row r="459" spans="1:14" ht="15">
      <c r="A459" s="951"/>
      <c r="B459" s="945"/>
      <c r="C459" s="945"/>
      <c r="D459"/>
      <c r="E459"/>
      <c r="F459"/>
      <c r="G459"/>
      <c r="H459"/>
      <c r="I459"/>
      <c r="J459"/>
      <c r="K459"/>
      <c r="L459"/>
      <c r="M459"/>
      <c r="N459" s="943"/>
    </row>
    <row r="460" spans="1:14" ht="15">
      <c r="A460" s="951"/>
      <c r="B460" s="945"/>
      <c r="C460" s="945"/>
      <c r="D460"/>
      <c r="E460"/>
      <c r="F460"/>
      <c r="G460"/>
      <c r="H460"/>
      <c r="I460"/>
      <c r="J460"/>
      <c r="K460"/>
      <c r="L460"/>
      <c r="M460"/>
      <c r="N460"/>
    </row>
    <row r="461" spans="1:14" ht="15">
      <c r="A461" s="951"/>
      <c r="B461" s="945"/>
      <c r="C461" s="945"/>
      <c r="D461"/>
      <c r="E461"/>
      <c r="F461"/>
      <c r="G461"/>
      <c r="H461"/>
      <c r="I461"/>
      <c r="J461"/>
      <c r="K461"/>
      <c r="L461"/>
      <c r="M461"/>
      <c r="N461"/>
    </row>
    <row r="462" spans="1:14" ht="15">
      <c r="A462" s="945"/>
      <c r="B462" s="945"/>
      <c r="C462" s="945"/>
      <c r="D462"/>
      <c r="E462"/>
      <c r="F462"/>
      <c r="G462"/>
      <c r="H462"/>
      <c r="I462"/>
      <c r="J462"/>
      <c r="K462"/>
      <c r="L462"/>
      <c r="M462"/>
      <c r="N462"/>
    </row>
    <row r="463" spans="1:14">
      <c r="A463" s="949"/>
      <c r="B463" s="950"/>
      <c r="C463" s="950"/>
      <c r="D463" s="950"/>
      <c r="E463" s="950"/>
      <c r="F463" s="950"/>
      <c r="G463" s="950"/>
      <c r="H463" s="950"/>
      <c r="I463" s="950"/>
      <c r="J463" s="950"/>
      <c r="K463" s="950"/>
      <c r="L463" s="950"/>
      <c r="M463" s="950"/>
      <c r="N463" s="950"/>
    </row>
    <row r="464" spans="1:14">
      <c r="A464" s="951"/>
      <c r="B464" s="952"/>
      <c r="C464" s="952"/>
    </row>
    <row r="465" spans="1:14" ht="15">
      <c r="A465" s="951"/>
      <c r="B465" s="941"/>
      <c r="C465" s="941"/>
      <c r="E465"/>
      <c r="F465"/>
      <c r="G465"/>
      <c r="H465"/>
      <c r="I465"/>
      <c r="J465"/>
      <c r="K465"/>
      <c r="L465"/>
      <c r="M465"/>
      <c r="N465" s="943"/>
    </row>
    <row r="466" spans="1:14" ht="15">
      <c r="A466" s="951"/>
      <c r="B466" s="941"/>
      <c r="C466" s="941"/>
      <c r="D466"/>
      <c r="E466"/>
      <c r="F466"/>
      <c r="G466"/>
      <c r="H466"/>
      <c r="I466"/>
      <c r="J466"/>
      <c r="K466"/>
      <c r="L466"/>
      <c r="M466"/>
      <c r="N466" s="943"/>
    </row>
    <row r="467" spans="1:14" ht="15">
      <c r="A467" s="951"/>
      <c r="B467" s="941"/>
      <c r="C467" s="941"/>
      <c r="D467"/>
      <c r="E467"/>
      <c r="F467"/>
      <c r="G467"/>
      <c r="H467"/>
      <c r="I467"/>
      <c r="J467"/>
      <c r="K467"/>
      <c r="L467"/>
      <c r="M467"/>
      <c r="N467" s="943"/>
    </row>
    <row r="468" spans="1:14" ht="15">
      <c r="A468" s="951"/>
      <c r="B468" s="941"/>
      <c r="C468" s="941"/>
      <c r="D468"/>
      <c r="E468"/>
      <c r="F468"/>
      <c r="G468"/>
      <c r="H468"/>
      <c r="I468"/>
      <c r="J468"/>
      <c r="K468"/>
      <c r="L468"/>
      <c r="M468"/>
      <c r="N468" s="943"/>
    </row>
    <row r="469" spans="1:14" ht="15">
      <c r="A469" s="951"/>
      <c r="B469" s="945"/>
      <c r="C469" s="945"/>
      <c r="D469"/>
      <c r="E469"/>
      <c r="F469"/>
      <c r="G469"/>
      <c r="H469"/>
      <c r="I469"/>
      <c r="J469"/>
      <c r="K469"/>
      <c r="L469"/>
      <c r="M469"/>
      <c r="N469" s="943"/>
    </row>
    <row r="470" spans="1:14" ht="15">
      <c r="A470" s="951"/>
      <c r="B470" s="945"/>
      <c r="C470" s="945"/>
      <c r="D470"/>
      <c r="E470"/>
      <c r="F470"/>
      <c r="G470"/>
      <c r="H470"/>
      <c r="I470"/>
      <c r="J470"/>
      <c r="K470"/>
      <c r="L470"/>
      <c r="M470"/>
      <c r="N470" s="943"/>
    </row>
    <row r="471" spans="1:14" ht="15">
      <c r="A471" s="951"/>
      <c r="B471" s="945"/>
      <c r="C471" s="945"/>
      <c r="D471"/>
      <c r="E471"/>
      <c r="F471"/>
      <c r="G471"/>
      <c r="H471"/>
      <c r="I471"/>
      <c r="J471"/>
      <c r="K471"/>
      <c r="L471"/>
      <c r="M471"/>
      <c r="N471"/>
    </row>
    <row r="472" spans="1:14" ht="15">
      <c r="A472" s="951"/>
      <c r="B472" s="945"/>
      <c r="C472" s="945"/>
      <c r="D472"/>
      <c r="E472"/>
      <c r="F472"/>
      <c r="G472"/>
      <c r="H472"/>
      <c r="I472"/>
      <c r="J472"/>
      <c r="K472"/>
      <c r="L472"/>
      <c r="M472"/>
      <c r="N472"/>
    </row>
    <row r="473" spans="1:14" ht="15">
      <c r="A473" s="945"/>
      <c r="B473" s="945"/>
      <c r="C473" s="945"/>
      <c r="D473"/>
      <c r="E473"/>
      <c r="F473"/>
      <c r="G473"/>
      <c r="H473"/>
      <c r="I473"/>
      <c r="J473"/>
      <c r="K473"/>
      <c r="L473"/>
      <c r="M473"/>
      <c r="N473"/>
    </row>
    <row r="474" spans="1:14">
      <c r="A474" s="949"/>
      <c r="B474" s="950"/>
      <c r="C474" s="950"/>
      <c r="D474" s="950"/>
      <c r="E474" s="950"/>
      <c r="F474" s="950"/>
      <c r="G474" s="950"/>
      <c r="H474" s="950"/>
      <c r="I474" s="950"/>
      <c r="J474" s="950"/>
      <c r="K474" s="950"/>
      <c r="L474" s="950"/>
      <c r="M474" s="950"/>
      <c r="N474" s="950"/>
    </row>
    <row r="475" spans="1:14">
      <c r="A475" s="951"/>
      <c r="B475" s="952"/>
      <c r="C475" s="952"/>
    </row>
    <row r="476" spans="1:14" ht="15">
      <c r="A476" s="951"/>
      <c r="B476" s="941"/>
      <c r="C476" s="941"/>
      <c r="E476"/>
      <c r="F476"/>
      <c r="G476"/>
      <c r="H476"/>
      <c r="I476"/>
      <c r="J476"/>
      <c r="K476"/>
      <c r="L476"/>
      <c r="M476"/>
      <c r="N476" s="943"/>
    </row>
    <row r="477" spans="1:14" ht="15">
      <c r="A477" s="951"/>
      <c r="B477" s="941"/>
      <c r="C477" s="941"/>
      <c r="D477"/>
      <c r="E477"/>
      <c r="F477"/>
      <c r="G477"/>
      <c r="H477"/>
      <c r="I477"/>
      <c r="J477"/>
      <c r="K477"/>
      <c r="L477"/>
      <c r="M477"/>
      <c r="N477" s="943"/>
    </row>
    <row r="478" spans="1:14" ht="15">
      <c r="A478" s="951"/>
      <c r="B478" s="941"/>
      <c r="C478" s="941"/>
      <c r="D478"/>
      <c r="E478"/>
      <c r="F478"/>
      <c r="G478"/>
      <c r="H478"/>
      <c r="I478"/>
      <c r="J478"/>
      <c r="K478"/>
      <c r="L478"/>
      <c r="M478"/>
      <c r="N478" s="943"/>
    </row>
    <row r="479" spans="1:14" ht="15">
      <c r="A479" s="951"/>
      <c r="B479" s="941"/>
      <c r="C479" s="941"/>
      <c r="D479"/>
      <c r="E479"/>
      <c r="F479"/>
      <c r="G479"/>
      <c r="H479"/>
      <c r="I479"/>
      <c r="J479"/>
      <c r="K479"/>
      <c r="L479"/>
      <c r="M479"/>
      <c r="N479" s="943"/>
    </row>
    <row r="480" spans="1:14" ht="15">
      <c r="A480" s="951"/>
      <c r="B480" s="945"/>
      <c r="C480" s="945"/>
      <c r="D480"/>
      <c r="E480"/>
      <c r="F480"/>
      <c r="G480"/>
      <c r="H480"/>
      <c r="I480"/>
      <c r="J480"/>
      <c r="K480"/>
      <c r="L480"/>
      <c r="M480"/>
      <c r="N480" s="943"/>
    </row>
    <row r="481" spans="1:14" ht="15">
      <c r="A481" s="951"/>
      <c r="B481" s="945"/>
      <c r="C481" s="945"/>
      <c r="D481"/>
      <c r="E481"/>
      <c r="F481"/>
      <c r="G481"/>
      <c r="H481"/>
      <c r="I481"/>
      <c r="J481"/>
      <c r="K481"/>
      <c r="L481"/>
      <c r="M481"/>
      <c r="N481" s="943"/>
    </row>
    <row r="482" spans="1:14" ht="15">
      <c r="A482" s="951"/>
      <c r="B482" s="945"/>
      <c r="C482" s="945"/>
      <c r="D482"/>
      <c r="E482"/>
      <c r="F482"/>
      <c r="G482"/>
      <c r="H482"/>
      <c r="I482"/>
      <c r="J482"/>
      <c r="K482"/>
      <c r="L482"/>
      <c r="M482"/>
      <c r="N482"/>
    </row>
    <row r="483" spans="1:14" ht="15">
      <c r="A483" s="951"/>
      <c r="B483" s="945"/>
      <c r="C483" s="945"/>
      <c r="D483"/>
      <c r="E483"/>
      <c r="F483"/>
      <c r="G483"/>
      <c r="H483"/>
      <c r="I483"/>
      <c r="J483"/>
      <c r="K483"/>
      <c r="L483"/>
      <c r="M483"/>
      <c r="N483"/>
    </row>
    <row r="484" spans="1:14" ht="15">
      <c r="A484" s="945"/>
      <c r="B484" s="945"/>
      <c r="C484" s="945"/>
      <c r="D484"/>
      <c r="E484"/>
      <c r="F484"/>
      <c r="G484"/>
      <c r="H484"/>
      <c r="I484"/>
      <c r="J484"/>
      <c r="K484"/>
      <c r="L484"/>
      <c r="M484"/>
      <c r="N484"/>
    </row>
    <row r="485" spans="1:14">
      <c r="A485" s="949"/>
      <c r="B485" s="950"/>
      <c r="C485" s="950"/>
      <c r="D485" s="950"/>
      <c r="E485" s="950"/>
      <c r="F485" s="950"/>
      <c r="G485" s="950"/>
      <c r="H485" s="950"/>
      <c r="I485" s="950"/>
      <c r="J485" s="950"/>
      <c r="K485" s="950"/>
      <c r="L485" s="950"/>
      <c r="M485" s="950"/>
      <c r="N485" s="950"/>
    </row>
    <row r="486" spans="1:14">
      <c r="A486" s="951"/>
      <c r="B486" s="952"/>
      <c r="C486" s="952"/>
    </row>
    <row r="487" spans="1:14" ht="15">
      <c r="A487" s="951"/>
      <c r="B487" s="941"/>
      <c r="C487" s="941"/>
      <c r="E487"/>
      <c r="F487"/>
      <c r="G487"/>
      <c r="H487"/>
      <c r="I487"/>
      <c r="J487"/>
      <c r="K487"/>
      <c r="L487"/>
      <c r="M487"/>
      <c r="N487" s="943"/>
    </row>
    <row r="488" spans="1:14" ht="15">
      <c r="A488" s="951"/>
      <c r="B488" s="941"/>
      <c r="C488" s="941"/>
      <c r="D488"/>
      <c r="E488"/>
      <c r="F488"/>
      <c r="G488"/>
      <c r="H488"/>
      <c r="I488"/>
      <c r="J488"/>
      <c r="K488"/>
      <c r="L488"/>
      <c r="M488"/>
      <c r="N488" s="943"/>
    </row>
    <row r="489" spans="1:14" ht="15">
      <c r="A489" s="951"/>
      <c r="B489" s="941"/>
      <c r="C489" s="941"/>
      <c r="D489"/>
      <c r="E489"/>
      <c r="F489"/>
      <c r="G489"/>
      <c r="H489"/>
      <c r="I489"/>
      <c r="J489"/>
      <c r="K489"/>
      <c r="L489"/>
      <c r="M489"/>
      <c r="N489" s="943"/>
    </row>
    <row r="490" spans="1:14" ht="15">
      <c r="A490" s="951"/>
      <c r="B490" s="941"/>
      <c r="C490" s="941"/>
      <c r="D490"/>
      <c r="E490"/>
      <c r="F490"/>
      <c r="G490"/>
      <c r="H490"/>
      <c r="I490"/>
      <c r="J490"/>
      <c r="K490"/>
      <c r="L490"/>
      <c r="M490"/>
      <c r="N490" s="943"/>
    </row>
    <row r="491" spans="1:14" ht="15">
      <c r="A491" s="951"/>
      <c r="B491" s="945"/>
      <c r="C491" s="945"/>
      <c r="D491"/>
      <c r="E491"/>
      <c r="F491"/>
      <c r="G491"/>
      <c r="H491"/>
      <c r="I491"/>
      <c r="J491"/>
      <c r="K491"/>
      <c r="L491"/>
      <c r="M491"/>
      <c r="N491" s="943"/>
    </row>
    <row r="492" spans="1:14" ht="15">
      <c r="A492" s="951"/>
      <c r="B492" s="945"/>
      <c r="C492" s="945"/>
      <c r="D492"/>
      <c r="E492"/>
      <c r="F492"/>
      <c r="G492"/>
      <c r="H492"/>
      <c r="I492"/>
      <c r="J492"/>
      <c r="K492"/>
      <c r="L492"/>
      <c r="M492"/>
      <c r="N492" s="943"/>
    </row>
    <row r="493" spans="1:14" ht="15">
      <c r="A493" s="951"/>
      <c r="B493" s="945"/>
      <c r="C493" s="945"/>
      <c r="D493"/>
      <c r="E493"/>
      <c r="F493"/>
      <c r="G493"/>
      <c r="H493"/>
      <c r="I493"/>
      <c r="J493"/>
      <c r="K493"/>
      <c r="L493"/>
      <c r="M493"/>
      <c r="N493"/>
    </row>
    <row r="494" spans="1:14" ht="15">
      <c r="A494" s="951"/>
      <c r="B494" s="945"/>
      <c r="C494" s="945"/>
      <c r="D494"/>
      <c r="E494"/>
      <c r="F494"/>
      <c r="G494"/>
      <c r="H494"/>
      <c r="I494"/>
      <c r="J494"/>
      <c r="K494"/>
      <c r="L494"/>
      <c r="M494"/>
      <c r="N494"/>
    </row>
    <row r="495" spans="1:14" ht="15">
      <c r="A495" s="945"/>
      <c r="B495" s="945"/>
      <c r="C495" s="945"/>
      <c r="D495"/>
      <c r="E495"/>
      <c r="F495"/>
      <c r="G495"/>
      <c r="H495"/>
      <c r="I495"/>
      <c r="J495"/>
      <c r="K495"/>
      <c r="L495"/>
      <c r="M495"/>
      <c r="N495"/>
    </row>
    <row r="496" spans="1:14">
      <c r="A496" s="949"/>
      <c r="B496" s="950"/>
      <c r="C496" s="950"/>
      <c r="D496" s="950"/>
      <c r="E496" s="950"/>
      <c r="F496" s="950"/>
      <c r="G496" s="950"/>
      <c r="H496" s="950"/>
      <c r="I496" s="950"/>
      <c r="J496" s="950"/>
      <c r="K496" s="950"/>
      <c r="L496" s="950"/>
      <c r="M496" s="950"/>
      <c r="N496" s="950"/>
    </row>
    <row r="497" spans="1:14">
      <c r="A497" s="951"/>
      <c r="B497" s="952"/>
      <c r="C497" s="952"/>
    </row>
    <row r="498" spans="1:14" ht="15">
      <c r="A498" s="951"/>
      <c r="B498" s="941"/>
      <c r="C498" s="941"/>
      <c r="E498"/>
      <c r="F498"/>
      <c r="G498"/>
      <c r="H498"/>
      <c r="I498"/>
      <c r="J498"/>
      <c r="K498"/>
      <c r="L498"/>
      <c r="M498"/>
      <c r="N498" s="943"/>
    </row>
    <row r="499" spans="1:14" ht="15">
      <c r="A499" s="951"/>
      <c r="B499" s="941"/>
      <c r="C499" s="941"/>
      <c r="D499"/>
      <c r="E499"/>
      <c r="F499"/>
      <c r="G499"/>
      <c r="H499"/>
      <c r="I499"/>
      <c r="J499"/>
      <c r="K499"/>
      <c r="L499"/>
      <c r="M499"/>
      <c r="N499" s="943"/>
    </row>
    <row r="500" spans="1:14" ht="15">
      <c r="A500" s="951"/>
      <c r="B500" s="941"/>
      <c r="C500" s="941"/>
      <c r="D500"/>
      <c r="E500"/>
      <c r="F500"/>
      <c r="G500"/>
      <c r="H500"/>
      <c r="I500"/>
      <c r="J500"/>
      <c r="K500"/>
      <c r="L500"/>
      <c r="M500"/>
      <c r="N500" s="943"/>
    </row>
    <row r="501" spans="1:14" ht="15">
      <c r="A501" s="951"/>
      <c r="B501" s="941"/>
      <c r="C501" s="941"/>
      <c r="D501"/>
      <c r="E501"/>
      <c r="F501"/>
      <c r="G501"/>
      <c r="H501"/>
      <c r="I501"/>
      <c r="J501"/>
      <c r="K501"/>
      <c r="L501"/>
      <c r="M501"/>
      <c r="N501" s="943"/>
    </row>
    <row r="502" spans="1:14" ht="15">
      <c r="A502" s="951"/>
      <c r="B502" s="945"/>
      <c r="C502" s="945"/>
      <c r="D502"/>
      <c r="E502"/>
      <c r="F502"/>
      <c r="G502"/>
      <c r="H502"/>
      <c r="I502"/>
      <c r="J502"/>
      <c r="K502"/>
      <c r="L502"/>
      <c r="M502"/>
      <c r="N502" s="943"/>
    </row>
    <row r="503" spans="1:14" ht="15">
      <c r="A503" s="951"/>
      <c r="B503" s="945"/>
      <c r="C503" s="945"/>
      <c r="D503"/>
      <c r="E503"/>
      <c r="F503"/>
      <c r="G503"/>
      <c r="H503"/>
      <c r="I503"/>
      <c r="J503"/>
      <c r="K503"/>
      <c r="L503"/>
      <c r="M503"/>
      <c r="N503" s="943"/>
    </row>
    <row r="504" spans="1:14" ht="15">
      <c r="A504" s="951"/>
      <c r="B504" s="945"/>
      <c r="C504" s="945"/>
      <c r="D504"/>
      <c r="E504"/>
      <c r="F504"/>
      <c r="G504"/>
      <c r="H504"/>
      <c r="I504"/>
      <c r="J504"/>
      <c r="K504"/>
      <c r="L504"/>
      <c r="M504"/>
      <c r="N504"/>
    </row>
    <row r="505" spans="1:14" ht="15">
      <c r="A505" s="951"/>
      <c r="B505" s="945"/>
      <c r="C505" s="945"/>
      <c r="D505"/>
      <c r="E505"/>
      <c r="F505"/>
      <c r="G505"/>
      <c r="H505"/>
      <c r="I505"/>
      <c r="J505"/>
      <c r="K505"/>
      <c r="L505"/>
      <c r="M505"/>
      <c r="N505"/>
    </row>
    <row r="506" spans="1:14" ht="15">
      <c r="A506" s="945"/>
      <c r="B506" s="945"/>
      <c r="C506" s="945"/>
      <c r="D506"/>
      <c r="E506"/>
      <c r="F506"/>
      <c r="G506"/>
      <c r="H506"/>
      <c r="I506"/>
      <c r="J506"/>
      <c r="K506"/>
      <c r="L506"/>
      <c r="M506"/>
      <c r="N506"/>
    </row>
    <row r="507" spans="1:14">
      <c r="A507" s="949"/>
      <c r="B507" s="950"/>
      <c r="C507" s="950"/>
      <c r="D507" s="950"/>
      <c r="E507" s="950"/>
      <c r="F507" s="950"/>
      <c r="G507" s="950"/>
      <c r="H507" s="950"/>
      <c r="I507" s="950"/>
      <c r="J507" s="950"/>
      <c r="K507" s="950"/>
      <c r="L507" s="950"/>
      <c r="M507" s="950"/>
      <c r="N507" s="950"/>
    </row>
    <row r="508" spans="1:14">
      <c r="A508" s="951"/>
      <c r="B508" s="952"/>
      <c r="C508" s="952"/>
    </row>
    <row r="509" spans="1:14" ht="15">
      <c r="A509" s="951"/>
      <c r="B509" s="941"/>
      <c r="C509" s="941"/>
      <c r="E509"/>
      <c r="F509"/>
      <c r="G509"/>
      <c r="H509"/>
      <c r="I509"/>
      <c r="J509"/>
      <c r="K509"/>
      <c r="L509"/>
      <c r="M509"/>
      <c r="N509" s="943"/>
    </row>
    <row r="510" spans="1:14" ht="15">
      <c r="A510" s="951"/>
      <c r="B510" s="941"/>
      <c r="C510" s="941"/>
      <c r="D510"/>
      <c r="E510"/>
      <c r="F510"/>
      <c r="G510"/>
      <c r="H510"/>
      <c r="I510"/>
      <c r="J510"/>
      <c r="K510"/>
      <c r="L510"/>
      <c r="M510"/>
      <c r="N510" s="943"/>
    </row>
    <row r="511" spans="1:14" ht="15">
      <c r="A511" s="951"/>
      <c r="B511" s="941"/>
      <c r="C511" s="941"/>
      <c r="D511"/>
      <c r="E511"/>
      <c r="F511"/>
      <c r="G511"/>
      <c r="H511"/>
      <c r="I511"/>
      <c r="J511"/>
      <c r="K511"/>
      <c r="L511"/>
      <c r="M511"/>
      <c r="N511" s="943"/>
    </row>
    <row r="512" spans="1:14" ht="15">
      <c r="A512" s="951"/>
      <c r="B512" s="941"/>
      <c r="C512" s="941"/>
      <c r="D512"/>
      <c r="E512"/>
      <c r="F512"/>
      <c r="G512"/>
      <c r="H512"/>
      <c r="I512"/>
      <c r="J512"/>
      <c r="K512"/>
      <c r="L512"/>
      <c r="M512"/>
      <c r="N512" s="943"/>
    </row>
    <row r="513" spans="1:14" ht="15">
      <c r="A513" s="951"/>
      <c r="B513" s="945"/>
      <c r="C513" s="945"/>
      <c r="D513"/>
      <c r="E513"/>
      <c r="F513"/>
      <c r="G513"/>
      <c r="H513"/>
      <c r="I513"/>
      <c r="J513"/>
      <c r="K513"/>
      <c r="L513"/>
      <c r="M513"/>
      <c r="N513" s="943"/>
    </row>
    <row r="514" spans="1:14" ht="15">
      <c r="A514" s="951"/>
      <c r="B514" s="945"/>
      <c r="C514" s="945"/>
      <c r="D514"/>
      <c r="E514"/>
      <c r="F514"/>
      <c r="G514"/>
      <c r="H514"/>
      <c r="I514"/>
      <c r="J514"/>
      <c r="K514"/>
      <c r="L514"/>
      <c r="M514"/>
      <c r="N514" s="943"/>
    </row>
    <row r="515" spans="1:14" ht="15">
      <c r="A515" s="951"/>
      <c r="B515" s="945"/>
      <c r="C515" s="945"/>
      <c r="D515"/>
      <c r="E515"/>
      <c r="F515"/>
      <c r="G515"/>
      <c r="H515"/>
      <c r="I515"/>
      <c r="J515"/>
      <c r="K515"/>
      <c r="L515"/>
      <c r="M515"/>
      <c r="N515"/>
    </row>
    <row r="516" spans="1:14" ht="15">
      <c r="A516" s="951"/>
      <c r="B516" s="945"/>
      <c r="C516" s="945"/>
      <c r="D516"/>
      <c r="E516"/>
      <c r="F516"/>
      <c r="G516"/>
      <c r="H516"/>
      <c r="I516"/>
      <c r="J516"/>
      <c r="K516"/>
      <c r="L516"/>
      <c r="M516"/>
      <c r="N516"/>
    </row>
    <row r="517" spans="1:14" ht="15">
      <c r="A517" s="945"/>
      <c r="B517" s="945"/>
      <c r="C517" s="945"/>
      <c r="D517"/>
      <c r="E517"/>
      <c r="F517"/>
      <c r="G517"/>
      <c r="H517"/>
      <c r="I517"/>
      <c r="J517"/>
      <c r="K517"/>
      <c r="L517"/>
      <c r="M517"/>
      <c r="N517"/>
    </row>
    <row r="518" spans="1:14">
      <c r="A518" s="949"/>
      <c r="B518" s="950"/>
      <c r="C518" s="950"/>
      <c r="D518" s="950"/>
      <c r="E518" s="950"/>
      <c r="F518" s="950"/>
      <c r="G518" s="950"/>
      <c r="H518" s="950"/>
      <c r="I518" s="950"/>
      <c r="J518" s="950"/>
      <c r="K518" s="950"/>
      <c r="L518" s="950"/>
      <c r="M518" s="950"/>
      <c r="N518" s="950"/>
    </row>
    <row r="519" spans="1:14">
      <c r="A519" s="951"/>
      <c r="B519" s="952"/>
      <c r="C519" s="952"/>
    </row>
    <row r="520" spans="1:14" ht="15">
      <c r="A520" s="951"/>
      <c r="B520" s="941"/>
      <c r="C520" s="941"/>
      <c r="E520"/>
      <c r="F520"/>
      <c r="G520"/>
      <c r="H520"/>
      <c r="I520"/>
      <c r="J520"/>
      <c r="K520"/>
      <c r="L520"/>
      <c r="M520"/>
      <c r="N520" s="943"/>
    </row>
    <row r="521" spans="1:14" ht="15">
      <c r="A521" s="951"/>
      <c r="B521" s="941"/>
      <c r="C521" s="941"/>
      <c r="D521"/>
      <c r="E521"/>
      <c r="F521"/>
      <c r="G521"/>
      <c r="H521"/>
      <c r="I521"/>
      <c r="J521"/>
      <c r="K521"/>
      <c r="L521"/>
      <c r="M521"/>
      <c r="N521" s="943"/>
    </row>
    <row r="522" spans="1:14" ht="15">
      <c r="A522" s="951"/>
      <c r="B522" s="941"/>
      <c r="C522" s="941"/>
      <c r="D522"/>
      <c r="E522"/>
      <c r="F522"/>
      <c r="G522"/>
      <c r="H522"/>
      <c r="I522"/>
      <c r="J522"/>
      <c r="K522"/>
      <c r="L522"/>
      <c r="M522"/>
      <c r="N522" s="943"/>
    </row>
    <row r="523" spans="1:14" ht="15">
      <c r="A523" s="951"/>
      <c r="B523" s="941"/>
      <c r="C523" s="941"/>
      <c r="D523"/>
      <c r="E523"/>
      <c r="F523"/>
      <c r="G523"/>
      <c r="H523"/>
      <c r="I523"/>
      <c r="J523"/>
      <c r="K523"/>
      <c r="L523"/>
      <c r="M523"/>
      <c r="N523" s="943"/>
    </row>
    <row r="524" spans="1:14" ht="15">
      <c r="A524" s="951"/>
      <c r="B524" s="945"/>
      <c r="C524" s="945"/>
      <c r="D524"/>
      <c r="E524"/>
      <c r="F524"/>
      <c r="G524"/>
      <c r="H524"/>
      <c r="I524"/>
      <c r="J524"/>
      <c r="K524"/>
      <c r="L524"/>
      <c r="M524"/>
      <c r="N524" s="943"/>
    </row>
    <row r="525" spans="1:14" ht="15">
      <c r="A525" s="951"/>
      <c r="B525" s="945"/>
      <c r="C525" s="945"/>
      <c r="D525"/>
      <c r="E525"/>
      <c r="F525"/>
      <c r="G525"/>
      <c r="H525"/>
      <c r="I525"/>
      <c r="J525"/>
      <c r="K525"/>
      <c r="L525"/>
      <c r="M525"/>
      <c r="N525" s="943"/>
    </row>
    <row r="526" spans="1:14" ht="15">
      <c r="A526" s="951"/>
      <c r="B526" s="945"/>
      <c r="C526" s="945"/>
      <c r="D526"/>
      <c r="E526"/>
      <c r="F526"/>
      <c r="G526"/>
      <c r="H526"/>
      <c r="I526"/>
      <c r="J526"/>
      <c r="K526"/>
      <c r="L526"/>
      <c r="M526"/>
      <c r="N526"/>
    </row>
    <row r="527" spans="1:14" ht="15">
      <c r="A527" s="951"/>
      <c r="B527" s="945"/>
      <c r="C527" s="945"/>
      <c r="D527"/>
      <c r="E527"/>
      <c r="F527"/>
      <c r="G527"/>
      <c r="H527"/>
      <c r="I527"/>
      <c r="J527"/>
      <c r="K527"/>
      <c r="L527"/>
      <c r="M527"/>
      <c r="N527"/>
    </row>
    <row r="528" spans="1:14" ht="15">
      <c r="A528" s="945"/>
      <c r="B528" s="945"/>
      <c r="C528" s="945"/>
      <c r="D528"/>
      <c r="E528"/>
      <c r="F528"/>
      <c r="G528"/>
      <c r="H528"/>
      <c r="I528"/>
      <c r="J528"/>
      <c r="K528"/>
      <c r="L528"/>
      <c r="M528"/>
      <c r="N528"/>
    </row>
    <row r="529" spans="1:14">
      <c r="A529" s="949"/>
      <c r="B529" s="950"/>
      <c r="C529" s="950"/>
      <c r="D529" s="950"/>
      <c r="E529" s="950"/>
      <c r="F529" s="950"/>
      <c r="G529" s="950"/>
      <c r="H529" s="950"/>
      <c r="I529" s="950"/>
      <c r="J529" s="950"/>
      <c r="K529" s="950"/>
      <c r="L529" s="950"/>
      <c r="M529" s="950"/>
      <c r="N529" s="950"/>
    </row>
    <row r="530" spans="1:14">
      <c r="A530" s="951"/>
      <c r="B530" s="952"/>
      <c r="C530" s="952"/>
    </row>
    <row r="531" spans="1:14" ht="15">
      <c r="A531" s="951"/>
      <c r="B531" s="941"/>
      <c r="C531" s="941"/>
      <c r="E531"/>
      <c r="F531"/>
      <c r="G531"/>
      <c r="H531"/>
      <c r="I531"/>
      <c r="J531"/>
      <c r="K531"/>
      <c r="L531"/>
      <c r="M531"/>
      <c r="N531" s="943"/>
    </row>
    <row r="532" spans="1:14" ht="15">
      <c r="A532" s="951"/>
      <c r="B532" s="941"/>
      <c r="C532" s="941"/>
      <c r="D532"/>
      <c r="E532"/>
      <c r="F532"/>
      <c r="G532"/>
      <c r="H532"/>
      <c r="I532"/>
      <c r="J532"/>
      <c r="K532"/>
      <c r="L532"/>
      <c r="M532"/>
      <c r="N532" s="943"/>
    </row>
    <row r="533" spans="1:14" ht="15">
      <c r="A533" s="951"/>
      <c r="B533" s="941"/>
      <c r="C533" s="941"/>
      <c r="D533"/>
      <c r="E533"/>
      <c r="F533"/>
      <c r="G533"/>
      <c r="H533"/>
      <c r="I533"/>
      <c r="J533"/>
      <c r="K533"/>
      <c r="L533"/>
      <c r="M533"/>
      <c r="N533" s="943"/>
    </row>
    <row r="534" spans="1:14" ht="15">
      <c r="A534" s="951"/>
      <c r="B534" s="941"/>
      <c r="C534" s="941"/>
      <c r="D534"/>
      <c r="E534"/>
      <c r="F534"/>
      <c r="G534"/>
      <c r="H534"/>
      <c r="I534"/>
      <c r="J534"/>
      <c r="K534"/>
      <c r="L534"/>
      <c r="M534"/>
      <c r="N534" s="943"/>
    </row>
    <row r="535" spans="1:14" ht="15">
      <c r="A535" s="951"/>
      <c r="B535" s="945"/>
      <c r="C535" s="945"/>
      <c r="D535"/>
      <c r="E535"/>
      <c r="F535"/>
      <c r="G535"/>
      <c r="H535"/>
      <c r="I535"/>
      <c r="J535"/>
      <c r="K535"/>
      <c r="L535"/>
      <c r="M535"/>
      <c r="N535" s="943"/>
    </row>
    <row r="536" spans="1:14" ht="15">
      <c r="A536" s="951"/>
      <c r="B536" s="945"/>
      <c r="C536" s="945"/>
      <c r="D536"/>
      <c r="E536"/>
      <c r="F536"/>
      <c r="G536"/>
      <c r="H536"/>
      <c r="I536"/>
      <c r="J536"/>
      <c r="K536"/>
      <c r="L536"/>
      <c r="M536"/>
      <c r="N536" s="943"/>
    </row>
    <row r="537" spans="1:14" ht="15">
      <c r="A537" s="951"/>
      <c r="B537" s="945"/>
      <c r="C537" s="945"/>
      <c r="D537"/>
      <c r="E537"/>
      <c r="F537"/>
      <c r="G537"/>
      <c r="H537"/>
      <c r="I537"/>
      <c r="J537"/>
      <c r="K537"/>
      <c r="L537"/>
      <c r="M537"/>
      <c r="N537"/>
    </row>
    <row r="538" spans="1:14" ht="15">
      <c r="A538" s="951"/>
      <c r="B538" s="945"/>
      <c r="C538" s="945"/>
      <c r="D538"/>
      <c r="E538"/>
      <c r="F538"/>
      <c r="G538"/>
      <c r="H538"/>
      <c r="I538"/>
      <c r="J538"/>
      <c r="K538"/>
      <c r="L538"/>
      <c r="M538"/>
      <c r="N538"/>
    </row>
    <row r="539" spans="1:14" ht="15">
      <c r="A539" s="945"/>
      <c r="B539" s="945"/>
      <c r="C539" s="945"/>
      <c r="D539"/>
      <c r="E539"/>
      <c r="F539"/>
      <c r="G539"/>
      <c r="H539"/>
      <c r="I539"/>
      <c r="J539"/>
      <c r="K539"/>
      <c r="L539"/>
      <c r="M539"/>
      <c r="N539"/>
    </row>
    <row r="540" spans="1:14">
      <c r="A540" s="949"/>
      <c r="B540" s="950"/>
      <c r="C540" s="950"/>
      <c r="D540" s="950"/>
      <c r="E540" s="950"/>
      <c r="F540" s="950"/>
      <c r="G540" s="950"/>
      <c r="H540" s="950"/>
      <c r="I540" s="950"/>
      <c r="J540" s="950"/>
      <c r="K540" s="950"/>
      <c r="L540" s="950"/>
      <c r="M540" s="950"/>
      <c r="N540" s="950"/>
    </row>
    <row r="541" spans="1:14">
      <c r="A541" s="951"/>
      <c r="B541" s="952"/>
      <c r="C541" s="952"/>
    </row>
    <row r="542" spans="1:14" ht="15">
      <c r="A542" s="951"/>
      <c r="B542" s="941"/>
      <c r="C542" s="941"/>
      <c r="E542"/>
      <c r="F542"/>
      <c r="G542"/>
      <c r="H542"/>
      <c r="I542"/>
      <c r="J542"/>
      <c r="K542"/>
      <c r="L542"/>
      <c r="M542"/>
      <c r="N542" s="943"/>
    </row>
    <row r="543" spans="1:14" ht="15">
      <c r="A543" s="951"/>
      <c r="B543" s="941"/>
      <c r="C543" s="941"/>
      <c r="D543"/>
      <c r="E543"/>
      <c r="F543"/>
      <c r="G543"/>
      <c r="H543"/>
      <c r="I543"/>
      <c r="J543"/>
      <c r="K543"/>
      <c r="L543"/>
      <c r="M543"/>
      <c r="N543" s="943"/>
    </row>
    <row r="544" spans="1:14" ht="15">
      <c r="A544" s="951"/>
      <c r="B544" s="941"/>
      <c r="C544" s="941"/>
      <c r="D544"/>
      <c r="E544"/>
      <c r="F544"/>
      <c r="G544"/>
      <c r="H544"/>
      <c r="I544"/>
      <c r="J544"/>
      <c r="K544"/>
      <c r="L544"/>
      <c r="M544"/>
      <c r="N544" s="943"/>
    </row>
    <row r="545" spans="1:14" ht="15">
      <c r="A545" s="951"/>
      <c r="B545" s="941"/>
      <c r="C545" s="941"/>
      <c r="D545"/>
      <c r="E545"/>
      <c r="F545"/>
      <c r="G545"/>
      <c r="H545"/>
      <c r="I545"/>
      <c r="J545"/>
      <c r="K545"/>
      <c r="L545"/>
      <c r="M545"/>
      <c r="N545" s="943"/>
    </row>
    <row r="546" spans="1:14" ht="15">
      <c r="A546" s="951"/>
      <c r="B546" s="945"/>
      <c r="C546" s="945"/>
      <c r="D546"/>
      <c r="E546"/>
      <c r="F546"/>
      <c r="G546"/>
      <c r="H546"/>
      <c r="I546"/>
      <c r="J546"/>
      <c r="K546"/>
      <c r="L546"/>
      <c r="M546"/>
      <c r="N546" s="943"/>
    </row>
    <row r="547" spans="1:14" ht="15">
      <c r="A547" s="951"/>
      <c r="B547" s="945"/>
      <c r="C547" s="945"/>
      <c r="D547"/>
      <c r="E547"/>
      <c r="F547"/>
      <c r="G547"/>
      <c r="H547"/>
      <c r="I547"/>
      <c r="J547"/>
      <c r="K547"/>
      <c r="L547"/>
      <c r="M547"/>
      <c r="N547" s="943"/>
    </row>
    <row r="548" spans="1:14" ht="15">
      <c r="A548" s="951"/>
      <c r="B548" s="945"/>
      <c r="C548" s="945"/>
      <c r="D548"/>
      <c r="E548"/>
      <c r="F548"/>
      <c r="G548"/>
      <c r="H548"/>
      <c r="I548"/>
      <c r="J548"/>
      <c r="K548"/>
      <c r="L548"/>
      <c r="M548"/>
      <c r="N548"/>
    </row>
    <row r="549" spans="1:14" ht="15">
      <c r="A549" s="951"/>
      <c r="B549" s="945"/>
      <c r="C549" s="945"/>
      <c r="D549"/>
      <c r="E549"/>
      <c r="F549"/>
      <c r="G549"/>
      <c r="H549"/>
      <c r="I549"/>
      <c r="J549"/>
      <c r="K549"/>
      <c r="L549"/>
      <c r="M549"/>
      <c r="N549"/>
    </row>
    <row r="550" spans="1:14" ht="15">
      <c r="A550" s="945"/>
      <c r="B550" s="945"/>
      <c r="C550" s="945"/>
      <c r="D550"/>
      <c r="E550"/>
      <c r="F550"/>
      <c r="G550"/>
      <c r="H550"/>
      <c r="I550"/>
      <c r="J550"/>
      <c r="K550"/>
      <c r="L550"/>
      <c r="M550"/>
      <c r="N550"/>
    </row>
    <row r="551" spans="1:14">
      <c r="A551" s="949"/>
      <c r="B551" s="950"/>
      <c r="C551" s="950"/>
      <c r="D551" s="950"/>
      <c r="E551" s="950"/>
      <c r="F551" s="950"/>
      <c r="G551" s="950"/>
      <c r="H551" s="950"/>
      <c r="I551" s="950"/>
      <c r="J551" s="950"/>
      <c r="K551" s="950"/>
      <c r="L551" s="950"/>
      <c r="M551" s="950"/>
      <c r="N551" s="950"/>
    </row>
    <row r="552" spans="1:14">
      <c r="A552" s="951"/>
      <c r="B552" s="952"/>
      <c r="C552" s="952"/>
    </row>
    <row r="553" spans="1:14" ht="15">
      <c r="A553" s="951"/>
      <c r="B553" s="941"/>
      <c r="C553" s="941"/>
      <c r="E553"/>
      <c r="F553"/>
      <c r="G553"/>
      <c r="H553"/>
      <c r="I553"/>
      <c r="J553"/>
      <c r="K553"/>
      <c r="L553"/>
      <c r="M553"/>
      <c r="N553" s="943"/>
    </row>
    <row r="554" spans="1:14" ht="15">
      <c r="A554" s="951"/>
      <c r="B554" s="941"/>
      <c r="C554" s="941"/>
      <c r="D554"/>
      <c r="E554"/>
      <c r="F554"/>
      <c r="G554"/>
      <c r="H554"/>
      <c r="I554"/>
      <c r="J554"/>
      <c r="K554"/>
      <c r="L554"/>
      <c r="M554"/>
      <c r="N554" s="943"/>
    </row>
    <row r="555" spans="1:14" ht="15">
      <c r="A555" s="951"/>
      <c r="B555" s="941"/>
      <c r="C555" s="941"/>
      <c r="D555"/>
      <c r="E555"/>
      <c r="F555"/>
      <c r="G555"/>
      <c r="H555"/>
      <c r="I555"/>
      <c r="J555"/>
      <c r="K555"/>
      <c r="L555"/>
      <c r="M555"/>
      <c r="N555" s="943"/>
    </row>
    <row r="556" spans="1:14" ht="15">
      <c r="A556" s="951"/>
      <c r="B556" s="941"/>
      <c r="C556" s="941"/>
      <c r="D556"/>
      <c r="E556"/>
      <c r="F556"/>
      <c r="G556"/>
      <c r="H556"/>
      <c r="I556"/>
      <c r="J556"/>
      <c r="K556"/>
      <c r="L556"/>
      <c r="M556"/>
      <c r="N556" s="943"/>
    </row>
    <row r="557" spans="1:14" ht="15">
      <c r="A557" s="951"/>
      <c r="B557" s="945"/>
      <c r="C557" s="945"/>
      <c r="D557"/>
      <c r="E557"/>
      <c r="F557"/>
      <c r="G557"/>
      <c r="H557"/>
      <c r="I557"/>
      <c r="J557"/>
      <c r="K557"/>
      <c r="L557"/>
      <c r="M557"/>
      <c r="N557" s="943"/>
    </row>
    <row r="558" spans="1:14" ht="15">
      <c r="A558" s="951"/>
      <c r="B558" s="945"/>
      <c r="C558" s="945"/>
      <c r="D558"/>
      <c r="E558"/>
      <c r="F558"/>
      <c r="G558"/>
      <c r="H558"/>
      <c r="I558"/>
      <c r="J558"/>
      <c r="K558"/>
      <c r="L558"/>
      <c r="M558"/>
      <c r="N558" s="943"/>
    </row>
    <row r="559" spans="1:14" ht="15">
      <c r="A559" s="951"/>
      <c r="B559" s="945"/>
      <c r="C559" s="945"/>
      <c r="D559"/>
      <c r="E559"/>
      <c r="F559"/>
      <c r="G559"/>
      <c r="H559"/>
      <c r="I559"/>
      <c r="J559"/>
      <c r="K559"/>
      <c r="L559"/>
      <c r="M559"/>
      <c r="N559"/>
    </row>
    <row r="560" spans="1:14" ht="15">
      <c r="A560" s="951"/>
      <c r="B560" s="945"/>
      <c r="C560" s="945"/>
      <c r="D560"/>
      <c r="E560"/>
      <c r="F560"/>
      <c r="G560"/>
      <c r="H560"/>
      <c r="I560"/>
      <c r="J560"/>
      <c r="K560"/>
      <c r="L560"/>
      <c r="M560"/>
      <c r="N560"/>
    </row>
    <row r="561" spans="1:14" ht="15">
      <c r="A561" s="945"/>
      <c r="B561" s="945"/>
      <c r="C561" s="945"/>
      <c r="D561"/>
      <c r="E561"/>
      <c r="F561"/>
      <c r="G561"/>
      <c r="H561"/>
      <c r="I561"/>
      <c r="J561"/>
      <c r="K561"/>
      <c r="L561"/>
      <c r="M561"/>
      <c r="N561"/>
    </row>
    <row r="562" spans="1:14">
      <c r="A562" s="949"/>
      <c r="B562" s="950"/>
      <c r="C562" s="950"/>
      <c r="D562" s="950"/>
      <c r="E562" s="950"/>
      <c r="F562" s="950"/>
      <c r="G562" s="950"/>
      <c r="H562" s="950"/>
      <c r="I562" s="950"/>
      <c r="J562" s="950"/>
      <c r="K562" s="950"/>
      <c r="L562" s="950"/>
      <c r="M562" s="950"/>
      <c r="N562" s="950"/>
    </row>
    <row r="563" spans="1:14">
      <c r="A563" s="951"/>
      <c r="B563" s="952"/>
      <c r="C563" s="952"/>
    </row>
    <row r="564" spans="1:14" ht="15">
      <c r="A564" s="951"/>
      <c r="B564" s="941"/>
      <c r="C564" s="941"/>
      <c r="E564"/>
      <c r="F564"/>
      <c r="G564"/>
      <c r="H564"/>
      <c r="I564"/>
      <c r="J564"/>
      <c r="K564"/>
      <c r="L564"/>
      <c r="M564"/>
      <c r="N564" s="943"/>
    </row>
    <row r="565" spans="1:14" ht="15">
      <c r="A565" s="951"/>
      <c r="B565" s="941"/>
      <c r="C565" s="941"/>
      <c r="D565"/>
      <c r="E565"/>
      <c r="F565"/>
      <c r="G565"/>
      <c r="H565"/>
      <c r="I565"/>
      <c r="J565"/>
      <c r="K565"/>
      <c r="L565"/>
      <c r="M565"/>
      <c r="N565" s="943"/>
    </row>
    <row r="566" spans="1:14" ht="15">
      <c r="A566" s="951"/>
      <c r="B566" s="941"/>
      <c r="C566" s="941"/>
      <c r="D566"/>
      <c r="E566"/>
      <c r="F566"/>
      <c r="G566"/>
      <c r="H566"/>
      <c r="I566"/>
      <c r="J566"/>
      <c r="K566"/>
      <c r="L566"/>
      <c r="M566"/>
      <c r="N566" s="943"/>
    </row>
    <row r="567" spans="1:14" ht="15">
      <c r="A567" s="951"/>
      <c r="B567" s="941"/>
      <c r="C567" s="941"/>
      <c r="D567"/>
      <c r="E567"/>
      <c r="F567"/>
      <c r="G567"/>
      <c r="H567"/>
      <c r="I567"/>
      <c r="J567"/>
      <c r="K567"/>
      <c r="L567"/>
      <c r="M567"/>
      <c r="N567" s="943"/>
    </row>
    <row r="568" spans="1:14" ht="15">
      <c r="A568" s="951"/>
      <c r="B568" s="945"/>
      <c r="C568" s="945"/>
      <c r="D568"/>
      <c r="E568"/>
      <c r="F568"/>
      <c r="G568"/>
      <c r="H568"/>
      <c r="I568"/>
      <c r="J568"/>
      <c r="K568"/>
      <c r="L568"/>
      <c r="M568"/>
      <c r="N568" s="943"/>
    </row>
    <row r="569" spans="1:14" ht="15">
      <c r="A569" s="951"/>
      <c r="B569" s="945"/>
      <c r="C569" s="945"/>
      <c r="D569"/>
      <c r="E569"/>
      <c r="F569"/>
      <c r="G569"/>
      <c r="H569"/>
      <c r="I569"/>
      <c r="J569"/>
      <c r="K569"/>
      <c r="L569"/>
      <c r="M569"/>
      <c r="N569" s="943"/>
    </row>
    <row r="570" spans="1:14" ht="15">
      <c r="A570" s="951"/>
      <c r="B570" s="945"/>
      <c r="C570" s="945"/>
      <c r="D570"/>
      <c r="E570"/>
      <c r="F570"/>
      <c r="G570"/>
      <c r="H570"/>
      <c r="I570"/>
      <c r="J570"/>
      <c r="K570"/>
      <c r="L570"/>
      <c r="M570"/>
      <c r="N570"/>
    </row>
    <row r="571" spans="1:14" ht="15">
      <c r="A571" s="951"/>
      <c r="B571" s="945"/>
      <c r="C571" s="945"/>
      <c r="D571"/>
      <c r="E571"/>
      <c r="F571"/>
      <c r="G571"/>
      <c r="H571"/>
      <c r="I571"/>
      <c r="J571"/>
      <c r="K571"/>
      <c r="L571"/>
      <c r="M571"/>
      <c r="N571"/>
    </row>
    <row r="572" spans="1:14" ht="15">
      <c r="A572" s="945"/>
      <c r="B572" s="945"/>
      <c r="C572" s="945"/>
      <c r="D572"/>
      <c r="E572"/>
      <c r="F572"/>
      <c r="G572"/>
      <c r="H572"/>
      <c r="I572"/>
      <c r="J572"/>
      <c r="K572"/>
      <c r="L572"/>
      <c r="M572"/>
      <c r="N572"/>
    </row>
    <row r="573" spans="1:14">
      <c r="A573" s="949"/>
      <c r="B573" s="950"/>
      <c r="C573" s="950"/>
      <c r="D573" s="950"/>
      <c r="E573" s="950"/>
      <c r="F573" s="950"/>
      <c r="G573" s="950"/>
      <c r="H573" s="950"/>
      <c r="I573" s="950"/>
      <c r="J573" s="950"/>
      <c r="K573" s="950"/>
      <c r="L573" s="950"/>
      <c r="M573" s="950"/>
      <c r="N573" s="950"/>
    </row>
    <row r="574" spans="1:14">
      <c r="A574" s="951"/>
      <c r="B574" s="952"/>
      <c r="C574" s="952"/>
    </row>
    <row r="575" spans="1:14" ht="15">
      <c r="A575" s="951"/>
      <c r="B575" s="941"/>
      <c r="C575" s="941"/>
      <c r="E575"/>
      <c r="F575"/>
      <c r="G575"/>
      <c r="H575"/>
      <c r="I575"/>
      <c r="J575"/>
      <c r="K575"/>
      <c r="L575"/>
      <c r="M575"/>
      <c r="N575" s="943"/>
    </row>
    <row r="576" spans="1:14" ht="15">
      <c r="A576" s="951"/>
      <c r="B576" s="941"/>
      <c r="C576" s="941"/>
      <c r="D576"/>
      <c r="E576"/>
      <c r="F576"/>
      <c r="G576"/>
      <c r="H576"/>
      <c r="I576"/>
      <c r="J576"/>
      <c r="K576"/>
      <c r="L576"/>
      <c r="M576"/>
      <c r="N576" s="943"/>
    </row>
    <row r="577" spans="1:14" ht="15">
      <c r="A577" s="951"/>
      <c r="B577" s="941"/>
      <c r="C577" s="941"/>
      <c r="D577"/>
      <c r="E577"/>
      <c r="F577"/>
      <c r="G577"/>
      <c r="H577"/>
      <c r="I577"/>
      <c r="J577"/>
      <c r="K577"/>
      <c r="L577"/>
      <c r="M577"/>
      <c r="N577" s="943"/>
    </row>
    <row r="578" spans="1:14" ht="15">
      <c r="A578" s="951"/>
      <c r="B578" s="941"/>
      <c r="C578" s="941"/>
      <c r="D578"/>
      <c r="E578"/>
      <c r="F578"/>
      <c r="G578"/>
      <c r="H578"/>
      <c r="I578"/>
      <c r="J578"/>
      <c r="K578"/>
      <c r="L578"/>
      <c r="M578"/>
      <c r="N578" s="943"/>
    </row>
    <row r="579" spans="1:14" ht="15">
      <c r="A579" s="951"/>
      <c r="B579" s="945"/>
      <c r="C579" s="945"/>
      <c r="D579"/>
      <c r="E579"/>
      <c r="F579"/>
      <c r="G579"/>
      <c r="H579"/>
      <c r="I579"/>
      <c r="J579"/>
      <c r="K579"/>
      <c r="L579"/>
      <c r="M579"/>
      <c r="N579" s="943"/>
    </row>
    <row r="580" spans="1:14" ht="15">
      <c r="A580" s="951"/>
      <c r="B580" s="945"/>
      <c r="C580" s="945"/>
      <c r="D580"/>
      <c r="E580"/>
      <c r="F580"/>
      <c r="G580"/>
      <c r="H580"/>
      <c r="I580"/>
      <c r="J580"/>
      <c r="K580"/>
      <c r="L580"/>
      <c r="M580"/>
      <c r="N580" s="943"/>
    </row>
    <row r="581" spans="1:14" ht="15">
      <c r="A581" s="951"/>
      <c r="B581" s="945"/>
      <c r="C581" s="945"/>
      <c r="D581"/>
      <c r="E581"/>
      <c r="F581"/>
      <c r="G581"/>
      <c r="H581"/>
      <c r="I581"/>
      <c r="J581"/>
      <c r="K581"/>
      <c r="L581"/>
      <c r="M581"/>
      <c r="N581"/>
    </row>
    <row r="582" spans="1:14" ht="15">
      <c r="A582" s="951"/>
      <c r="B582" s="945"/>
      <c r="C582" s="945"/>
      <c r="D582"/>
      <c r="E582"/>
      <c r="F582"/>
      <c r="G582"/>
      <c r="H582"/>
      <c r="I582"/>
      <c r="J582"/>
      <c r="K582"/>
      <c r="L582"/>
      <c r="M582"/>
      <c r="N582"/>
    </row>
    <row r="583" spans="1:14" ht="15">
      <c r="A583" s="945"/>
      <c r="B583" s="945"/>
      <c r="C583" s="945"/>
      <c r="D583"/>
      <c r="E583"/>
      <c r="F583"/>
      <c r="G583"/>
      <c r="H583"/>
      <c r="I583"/>
      <c r="J583"/>
      <c r="K583"/>
      <c r="L583"/>
      <c r="M583"/>
      <c r="N583"/>
    </row>
    <row r="584" spans="1:14">
      <c r="A584" s="949"/>
      <c r="B584" s="950"/>
      <c r="C584" s="950"/>
      <c r="D584" s="950"/>
      <c r="E584" s="950"/>
      <c r="F584" s="950"/>
      <c r="G584" s="950"/>
      <c r="H584" s="950"/>
      <c r="I584" s="950"/>
      <c r="J584" s="950"/>
      <c r="K584" s="950"/>
      <c r="L584" s="950"/>
      <c r="M584" s="950"/>
      <c r="N584" s="950"/>
    </row>
    <row r="585" spans="1:14">
      <c r="A585" s="951"/>
      <c r="B585" s="952"/>
      <c r="C585" s="952"/>
    </row>
    <row r="586" spans="1:14" ht="15">
      <c r="A586" s="951"/>
      <c r="B586" s="941"/>
      <c r="C586" s="941"/>
      <c r="E586"/>
      <c r="F586"/>
      <c r="G586"/>
      <c r="H586"/>
      <c r="I586"/>
      <c r="J586"/>
      <c r="K586"/>
      <c r="L586"/>
      <c r="M586"/>
      <c r="N586" s="943"/>
    </row>
    <row r="587" spans="1:14" ht="15">
      <c r="A587" s="951"/>
      <c r="B587" s="941"/>
      <c r="C587" s="941"/>
      <c r="D587"/>
      <c r="E587"/>
      <c r="F587"/>
      <c r="G587"/>
      <c r="H587"/>
      <c r="I587"/>
      <c r="J587"/>
      <c r="K587"/>
      <c r="L587"/>
      <c r="M587"/>
      <c r="N587" s="943"/>
    </row>
    <row r="588" spans="1:14" ht="15">
      <c r="A588" s="951"/>
      <c r="B588" s="941"/>
      <c r="C588" s="941"/>
      <c r="D588"/>
      <c r="E588"/>
      <c r="F588"/>
      <c r="G588"/>
      <c r="H588"/>
      <c r="I588"/>
      <c r="J588"/>
      <c r="K588"/>
      <c r="L588"/>
      <c r="M588"/>
      <c r="N588" s="943"/>
    </row>
    <row r="589" spans="1:14" ht="15">
      <c r="A589" s="951"/>
      <c r="B589" s="941"/>
      <c r="C589" s="941"/>
      <c r="D589"/>
      <c r="E589"/>
      <c r="F589"/>
      <c r="G589"/>
      <c r="H589"/>
      <c r="I589"/>
      <c r="J589"/>
      <c r="K589"/>
      <c r="L589"/>
      <c r="M589"/>
      <c r="N589" s="943"/>
    </row>
    <row r="590" spans="1:14" ht="15">
      <c r="A590" s="951"/>
      <c r="B590" s="945"/>
      <c r="C590" s="945"/>
      <c r="D590"/>
      <c r="E590"/>
      <c r="F590"/>
      <c r="G590"/>
      <c r="H590"/>
      <c r="I590"/>
      <c r="J590"/>
      <c r="K590"/>
      <c r="L590"/>
      <c r="M590"/>
      <c r="N590" s="943"/>
    </row>
    <row r="591" spans="1:14" ht="15">
      <c r="A591" s="951"/>
      <c r="B591" s="945"/>
      <c r="C591" s="945"/>
      <c r="D591"/>
      <c r="E591"/>
      <c r="F591"/>
      <c r="G591"/>
      <c r="H591"/>
      <c r="I591"/>
      <c r="J591"/>
      <c r="K591"/>
      <c r="L591"/>
      <c r="M591"/>
      <c r="N591" s="943"/>
    </row>
    <row r="592" spans="1:14" ht="15">
      <c r="A592" s="951"/>
      <c r="B592" s="945"/>
      <c r="C592" s="945"/>
      <c r="D592"/>
      <c r="E592"/>
      <c r="F592"/>
      <c r="G592"/>
      <c r="H592"/>
      <c r="I592"/>
      <c r="J592"/>
      <c r="K592"/>
      <c r="L592"/>
      <c r="M592"/>
      <c r="N592"/>
    </row>
    <row r="593" spans="1:14" ht="15">
      <c r="A593" s="951"/>
      <c r="B593" s="945"/>
      <c r="C593" s="945"/>
      <c r="D593"/>
      <c r="E593"/>
      <c r="F593"/>
      <c r="G593"/>
      <c r="H593"/>
      <c r="I593"/>
      <c r="J593"/>
      <c r="K593"/>
      <c r="L593"/>
      <c r="M593"/>
      <c r="N593"/>
    </row>
    <row r="594" spans="1:14" ht="15">
      <c r="A594" s="945"/>
      <c r="B594" s="945"/>
      <c r="C594" s="945"/>
      <c r="D594"/>
      <c r="E594"/>
      <c r="F594"/>
      <c r="G594"/>
      <c r="H594"/>
      <c r="I594"/>
      <c r="J594"/>
      <c r="K594"/>
      <c r="L594"/>
      <c r="M594"/>
      <c r="N594"/>
    </row>
    <row r="595" spans="1:14">
      <c r="A595" s="949"/>
      <c r="B595" s="950"/>
      <c r="C595" s="950"/>
      <c r="D595" s="950"/>
      <c r="E595" s="950"/>
      <c r="F595" s="950"/>
      <c r="G595" s="950"/>
      <c r="H595" s="950"/>
      <c r="I595" s="950"/>
      <c r="J595" s="950"/>
      <c r="K595" s="950"/>
      <c r="L595" s="950"/>
      <c r="M595" s="950"/>
      <c r="N595" s="950"/>
    </row>
    <row r="596" spans="1:14">
      <c r="A596" s="951"/>
      <c r="B596" s="952"/>
      <c r="C596" s="952"/>
    </row>
    <row r="597" spans="1:14" ht="15">
      <c r="A597" s="951"/>
      <c r="B597" s="941"/>
      <c r="C597" s="941"/>
      <c r="E597"/>
      <c r="F597"/>
      <c r="G597"/>
      <c r="H597"/>
      <c r="I597"/>
      <c r="J597"/>
      <c r="K597"/>
      <c r="L597"/>
      <c r="M597"/>
      <c r="N597" s="943"/>
    </row>
    <row r="598" spans="1:14" ht="15">
      <c r="A598" s="951"/>
      <c r="B598" s="941"/>
      <c r="C598" s="941"/>
      <c r="D598"/>
      <c r="E598"/>
      <c r="F598"/>
      <c r="G598"/>
      <c r="H598"/>
      <c r="I598"/>
      <c r="J598"/>
      <c r="K598"/>
      <c r="L598"/>
      <c r="M598"/>
      <c r="N598" s="943"/>
    </row>
    <row r="599" spans="1:14" ht="15">
      <c r="A599" s="951"/>
      <c r="B599" s="941"/>
      <c r="C599" s="941"/>
      <c r="D599"/>
      <c r="E599"/>
      <c r="F599"/>
      <c r="G599"/>
      <c r="H599"/>
      <c r="I599"/>
      <c r="J599"/>
      <c r="K599"/>
      <c r="L599"/>
      <c r="M599"/>
      <c r="N599" s="943"/>
    </row>
    <row r="600" spans="1:14" ht="15">
      <c r="A600" s="951"/>
      <c r="B600" s="941"/>
      <c r="C600" s="941"/>
      <c r="D600"/>
      <c r="E600"/>
      <c r="F600"/>
      <c r="G600"/>
      <c r="H600"/>
      <c r="I600"/>
      <c r="J600"/>
      <c r="K600"/>
      <c r="L600"/>
      <c r="M600"/>
      <c r="N600" s="943"/>
    </row>
    <row r="601" spans="1:14" ht="15">
      <c r="A601" s="951"/>
      <c r="B601" s="945"/>
      <c r="C601" s="945"/>
      <c r="D601"/>
      <c r="E601"/>
      <c r="F601"/>
      <c r="G601"/>
      <c r="H601"/>
      <c r="I601"/>
      <c r="J601"/>
      <c r="K601"/>
      <c r="L601"/>
      <c r="M601"/>
      <c r="N601" s="943"/>
    </row>
    <row r="602" spans="1:14" ht="15">
      <c r="A602" s="951"/>
      <c r="B602" s="945"/>
      <c r="C602" s="945"/>
      <c r="D602"/>
      <c r="E602"/>
      <c r="F602"/>
      <c r="G602"/>
      <c r="H602"/>
      <c r="I602"/>
      <c r="J602"/>
      <c r="K602"/>
      <c r="L602"/>
      <c r="M602"/>
      <c r="N602" s="943"/>
    </row>
    <row r="603" spans="1:14" ht="15">
      <c r="A603" s="951"/>
      <c r="B603" s="945"/>
      <c r="C603" s="945"/>
      <c r="D603"/>
      <c r="E603"/>
      <c r="F603"/>
      <c r="G603"/>
      <c r="H603"/>
      <c r="I603"/>
      <c r="J603"/>
      <c r="K603"/>
      <c r="L603"/>
      <c r="M603"/>
      <c r="N603"/>
    </row>
    <row r="604" spans="1:14" ht="15">
      <c r="A604" s="951"/>
      <c r="B604" s="945"/>
      <c r="C604" s="945"/>
      <c r="D604"/>
      <c r="E604"/>
      <c r="F604"/>
      <c r="G604"/>
      <c r="H604"/>
      <c r="I604"/>
      <c r="J604"/>
      <c r="K604"/>
      <c r="L604"/>
      <c r="M604"/>
      <c r="N604"/>
    </row>
    <row r="605" spans="1:14" ht="15">
      <c r="A605" s="945"/>
      <c r="B605" s="945"/>
      <c r="C605" s="945"/>
      <c r="D605"/>
      <c r="E605"/>
      <c r="F605"/>
      <c r="G605"/>
      <c r="H605"/>
      <c r="I605"/>
      <c r="J605"/>
      <c r="K605"/>
      <c r="L605"/>
      <c r="M605"/>
      <c r="N605"/>
    </row>
    <row r="606" spans="1:14">
      <c r="A606" s="949"/>
      <c r="B606" s="950"/>
      <c r="C606" s="950"/>
      <c r="D606" s="950"/>
      <c r="E606" s="950"/>
      <c r="F606" s="950"/>
      <c r="G606" s="950"/>
      <c r="H606" s="950"/>
      <c r="I606" s="950"/>
      <c r="J606" s="950"/>
      <c r="K606" s="950"/>
      <c r="L606" s="950"/>
      <c r="M606" s="950"/>
      <c r="N606" s="950"/>
    </row>
    <row r="607" spans="1:14">
      <c r="A607" s="1175"/>
      <c r="B607" s="952"/>
      <c r="C607" s="952"/>
    </row>
    <row r="608" spans="1:14" ht="15">
      <c r="A608" s="1175"/>
      <c r="B608" s="941"/>
      <c r="C608" s="941"/>
      <c r="E608"/>
      <c r="F608"/>
      <c r="G608"/>
      <c r="H608"/>
      <c r="I608"/>
      <c r="J608"/>
      <c r="K608"/>
      <c r="L608"/>
      <c r="M608"/>
      <c r="N608" s="943"/>
    </row>
    <row r="609" spans="1:14" ht="15">
      <c r="A609" s="1175"/>
      <c r="B609" s="941"/>
      <c r="C609" s="941"/>
      <c r="D609"/>
      <c r="E609"/>
      <c r="F609"/>
      <c r="G609"/>
      <c r="H609"/>
      <c r="I609"/>
      <c r="J609"/>
      <c r="K609"/>
      <c r="L609"/>
      <c r="M609"/>
      <c r="N609" s="943"/>
    </row>
    <row r="610" spans="1:14" ht="15">
      <c r="A610" s="1175"/>
      <c r="B610" s="941"/>
      <c r="C610" s="941"/>
      <c r="D610"/>
      <c r="E610"/>
      <c r="F610"/>
      <c r="G610"/>
      <c r="H610"/>
      <c r="I610"/>
      <c r="J610"/>
      <c r="K610"/>
      <c r="L610"/>
      <c r="M610"/>
      <c r="N610" s="943"/>
    </row>
    <row r="611" spans="1:14" ht="15">
      <c r="A611" s="1175"/>
      <c r="B611" s="941"/>
      <c r="C611" s="941"/>
      <c r="D611"/>
      <c r="E611"/>
      <c r="F611"/>
      <c r="G611"/>
      <c r="H611"/>
      <c r="I611"/>
      <c r="J611"/>
      <c r="K611"/>
      <c r="L611"/>
      <c r="M611"/>
      <c r="N611" s="943"/>
    </row>
    <row r="612" spans="1:14" ht="15">
      <c r="A612" s="1175"/>
      <c r="B612" s="945"/>
      <c r="C612" s="945"/>
      <c r="D612"/>
      <c r="E612"/>
      <c r="F612"/>
      <c r="G612"/>
      <c r="H612"/>
      <c r="I612"/>
      <c r="J612"/>
      <c r="K612"/>
      <c r="L612"/>
      <c r="M612"/>
      <c r="N612" s="943"/>
    </row>
    <row r="613" spans="1:14" ht="15">
      <c r="A613" s="1175"/>
      <c r="B613" s="945"/>
      <c r="C613" s="945"/>
      <c r="D613"/>
      <c r="E613"/>
      <c r="F613"/>
      <c r="G613"/>
      <c r="H613"/>
      <c r="I613"/>
      <c r="J613"/>
      <c r="K613"/>
      <c r="L613"/>
      <c r="M613"/>
      <c r="N613" s="943"/>
    </row>
    <row r="614" spans="1:14" ht="15">
      <c r="A614" s="1175"/>
      <c r="B614" s="945"/>
      <c r="C614" s="945"/>
      <c r="D614"/>
      <c r="E614"/>
      <c r="F614"/>
      <c r="G614"/>
      <c r="H614"/>
      <c r="I614"/>
      <c r="J614"/>
      <c r="K614"/>
      <c r="L614"/>
      <c r="M614"/>
      <c r="N614"/>
    </row>
    <row r="615" spans="1:14" ht="15">
      <c r="A615" s="1175"/>
      <c r="B615" s="945"/>
      <c r="C615" s="945"/>
      <c r="D615"/>
      <c r="E615"/>
      <c r="F615"/>
      <c r="G615"/>
      <c r="H615"/>
      <c r="I615"/>
      <c r="J615"/>
      <c r="K615"/>
      <c r="L615"/>
      <c r="M615"/>
      <c r="N615"/>
    </row>
    <row r="616" spans="1:14" ht="15">
      <c r="A616" s="945"/>
      <c r="B616" s="945"/>
      <c r="C616" s="945"/>
      <c r="D616"/>
      <c r="E616"/>
      <c r="F616"/>
      <c r="G616"/>
      <c r="H616"/>
      <c r="I616"/>
      <c r="J616"/>
      <c r="K616"/>
      <c r="L616"/>
      <c r="M616"/>
      <c r="N616"/>
    </row>
    <row r="617" spans="1:14">
      <c r="A617" s="949"/>
      <c r="B617" s="2427"/>
      <c r="C617" s="2427"/>
      <c r="D617" s="2427"/>
      <c r="E617" s="2427"/>
      <c r="F617" s="2427"/>
      <c r="G617" s="2427"/>
      <c r="H617" s="2427"/>
      <c r="I617" s="2427"/>
      <c r="J617" s="2427"/>
      <c r="K617" s="2427"/>
      <c r="L617" s="2427"/>
      <c r="M617" s="2427"/>
      <c r="N617" s="2427"/>
    </row>
    <row r="618" spans="1:14">
      <c r="A618" s="2426"/>
      <c r="B618" s="952"/>
      <c r="C618" s="952"/>
    </row>
    <row r="619" spans="1:14" ht="15">
      <c r="A619" s="2426"/>
      <c r="B619" s="941"/>
      <c r="C619" s="941"/>
      <c r="E619"/>
      <c r="F619"/>
      <c r="G619"/>
      <c r="H619"/>
      <c r="I619"/>
      <c r="J619"/>
      <c r="K619"/>
      <c r="L619"/>
      <c r="M619"/>
      <c r="N619" s="943"/>
    </row>
    <row r="620" spans="1:14" ht="15">
      <c r="A620" s="2426"/>
      <c r="B620" s="941"/>
      <c r="C620" s="941"/>
      <c r="D620"/>
      <c r="E620"/>
      <c r="F620"/>
      <c r="G620"/>
      <c r="H620"/>
      <c r="I620"/>
      <c r="J620"/>
      <c r="K620"/>
      <c r="L620"/>
      <c r="M620"/>
      <c r="N620" s="943"/>
    </row>
    <row r="621" spans="1:14" ht="15">
      <c r="A621" s="2426"/>
      <c r="B621" s="941"/>
      <c r="C621" s="941"/>
      <c r="D621"/>
      <c r="E621"/>
      <c r="F621"/>
      <c r="G621"/>
      <c r="H621"/>
      <c r="I621"/>
      <c r="J621"/>
      <c r="K621"/>
      <c r="L621"/>
      <c r="M621"/>
      <c r="N621" s="943"/>
    </row>
    <row r="622" spans="1:14" ht="15">
      <c r="A622" s="2426"/>
      <c r="B622" s="941"/>
      <c r="C622" s="941"/>
      <c r="D622"/>
      <c r="E622"/>
      <c r="F622"/>
      <c r="G622"/>
      <c r="H622"/>
      <c r="I622"/>
      <c r="J622"/>
      <c r="K622"/>
      <c r="L622"/>
      <c r="M622"/>
      <c r="N622" s="943"/>
    </row>
    <row r="623" spans="1:14" ht="15">
      <c r="A623" s="2426"/>
      <c r="B623" s="945"/>
      <c r="C623" s="945"/>
      <c r="D623"/>
      <c r="E623"/>
      <c r="F623"/>
      <c r="G623"/>
      <c r="H623"/>
      <c r="I623"/>
      <c r="J623"/>
      <c r="K623"/>
      <c r="L623"/>
      <c r="M623"/>
      <c r="N623" s="943"/>
    </row>
    <row r="624" spans="1:14" ht="15">
      <c r="A624" s="2426"/>
      <c r="B624" s="945"/>
      <c r="C624" s="945"/>
      <c r="D624"/>
      <c r="E624"/>
      <c r="F624"/>
      <c r="G624"/>
      <c r="H624"/>
      <c r="I624"/>
      <c r="J624"/>
      <c r="K624"/>
      <c r="L624"/>
      <c r="M624"/>
      <c r="N624" s="943"/>
    </row>
    <row r="625" spans="1:14" ht="15">
      <c r="A625" s="2426"/>
      <c r="B625" s="945"/>
      <c r="C625" s="945"/>
      <c r="D625"/>
      <c r="E625"/>
      <c r="F625"/>
      <c r="G625"/>
      <c r="H625"/>
      <c r="I625"/>
      <c r="J625"/>
      <c r="K625"/>
      <c r="L625"/>
      <c r="M625"/>
      <c r="N625"/>
    </row>
    <row r="626" spans="1:14" ht="15">
      <c r="A626" s="2426"/>
      <c r="B626" s="945"/>
      <c r="C626" s="945"/>
      <c r="D626"/>
      <c r="E626"/>
      <c r="F626"/>
      <c r="G626"/>
      <c r="H626"/>
      <c r="I626"/>
      <c r="J626"/>
      <c r="K626"/>
      <c r="L626"/>
      <c r="M626"/>
      <c r="N626"/>
    </row>
    <row r="627" spans="1:14" ht="15">
      <c r="A627" s="945"/>
      <c r="B627" s="945"/>
      <c r="C627" s="945"/>
      <c r="D627"/>
      <c r="E627"/>
      <c r="F627"/>
      <c r="G627"/>
      <c r="H627"/>
      <c r="I627"/>
      <c r="J627"/>
      <c r="K627"/>
      <c r="L627"/>
      <c r="M627"/>
      <c r="N627"/>
    </row>
    <row r="628" spans="1:14">
      <c r="A628" s="949"/>
      <c r="B628" s="2427"/>
      <c r="C628" s="2427"/>
      <c r="D628" s="2427"/>
      <c r="E628" s="2427"/>
      <c r="F628" s="2427"/>
      <c r="G628" s="2427"/>
      <c r="H628" s="2427"/>
      <c r="I628" s="2427"/>
      <c r="J628" s="2427"/>
      <c r="K628" s="2427"/>
      <c r="L628" s="2427"/>
      <c r="M628" s="2427"/>
      <c r="N628" s="2427"/>
    </row>
    <row r="629" spans="1:14">
      <c r="A629" s="2426"/>
      <c r="B629" s="952"/>
      <c r="C629" s="952"/>
    </row>
    <row r="630" spans="1:14" ht="15">
      <c r="A630" s="2426"/>
      <c r="B630" s="941"/>
      <c r="C630" s="941"/>
      <c r="E630"/>
      <c r="F630"/>
      <c r="G630"/>
      <c r="H630"/>
      <c r="I630"/>
      <c r="J630"/>
      <c r="K630"/>
      <c r="L630"/>
      <c r="M630"/>
      <c r="N630" s="943"/>
    </row>
    <row r="631" spans="1:14" ht="15">
      <c r="A631" s="2426"/>
      <c r="B631" s="941"/>
      <c r="C631" s="941"/>
      <c r="D631"/>
      <c r="E631"/>
      <c r="F631"/>
      <c r="G631"/>
      <c r="H631"/>
      <c r="I631"/>
      <c r="J631"/>
      <c r="K631"/>
      <c r="L631"/>
      <c r="M631"/>
      <c r="N631" s="943"/>
    </row>
    <row r="632" spans="1:14" ht="15">
      <c r="A632" s="2426"/>
      <c r="B632" s="941"/>
      <c r="C632" s="941"/>
      <c r="D632"/>
      <c r="E632"/>
      <c r="F632"/>
      <c r="G632"/>
      <c r="H632"/>
      <c r="I632"/>
      <c r="J632"/>
      <c r="K632"/>
      <c r="L632"/>
      <c r="M632"/>
      <c r="N632" s="943"/>
    </row>
    <row r="633" spans="1:14" ht="15">
      <c r="A633" s="2426"/>
      <c r="B633" s="941"/>
      <c r="C633" s="941"/>
      <c r="D633"/>
      <c r="E633"/>
      <c r="F633"/>
      <c r="G633"/>
      <c r="H633"/>
      <c r="I633"/>
      <c r="J633"/>
      <c r="K633"/>
      <c r="L633"/>
      <c r="M633"/>
      <c r="N633" s="943"/>
    </row>
    <row r="634" spans="1:14" ht="15">
      <c r="A634" s="2426"/>
      <c r="B634" s="945"/>
      <c r="C634" s="945"/>
      <c r="D634"/>
      <c r="E634"/>
      <c r="F634"/>
      <c r="G634"/>
      <c r="H634"/>
      <c r="I634"/>
      <c r="J634"/>
      <c r="K634"/>
      <c r="L634"/>
      <c r="M634"/>
      <c r="N634" s="943"/>
    </row>
    <row r="635" spans="1:14" ht="15">
      <c r="A635" s="2426"/>
      <c r="B635" s="945"/>
      <c r="C635" s="945"/>
      <c r="D635"/>
      <c r="E635"/>
      <c r="F635"/>
      <c r="G635"/>
      <c r="H635"/>
      <c r="I635"/>
      <c r="J635"/>
      <c r="K635"/>
      <c r="L635"/>
      <c r="M635"/>
      <c r="N635" s="943"/>
    </row>
    <row r="636" spans="1:14" ht="15">
      <c r="A636" s="2426"/>
      <c r="B636" s="945"/>
      <c r="C636" s="945"/>
      <c r="D636"/>
      <c r="E636"/>
      <c r="F636"/>
      <c r="G636"/>
      <c r="H636"/>
      <c r="I636"/>
      <c r="J636"/>
      <c r="K636"/>
      <c r="L636"/>
      <c r="M636"/>
      <c r="N636"/>
    </row>
    <row r="637" spans="1:14" ht="15">
      <c r="A637" s="2426"/>
      <c r="B637" s="945"/>
      <c r="C637" s="945"/>
      <c r="D637"/>
      <c r="E637"/>
      <c r="F637"/>
      <c r="G637"/>
      <c r="H637"/>
      <c r="I637"/>
      <c r="J637"/>
      <c r="K637"/>
      <c r="L637"/>
      <c r="M637"/>
      <c r="N637"/>
    </row>
    <row r="638" spans="1:14" ht="15">
      <c r="A638" s="945"/>
      <c r="B638" s="945"/>
      <c r="C638" s="945"/>
      <c r="D638"/>
      <c r="E638"/>
      <c r="F638"/>
      <c r="G638"/>
      <c r="H638"/>
      <c r="I638"/>
      <c r="J638"/>
      <c r="K638"/>
      <c r="L638"/>
      <c r="M638"/>
      <c r="N638"/>
    </row>
    <row r="639" spans="1:14">
      <c r="A639" s="949"/>
      <c r="B639" s="2427"/>
      <c r="C639" s="2427"/>
      <c r="D639" s="2427"/>
      <c r="E639" s="2427"/>
      <c r="F639" s="2427"/>
      <c r="G639" s="2427"/>
      <c r="H639" s="2427"/>
      <c r="I639" s="2427"/>
      <c r="J639" s="2427"/>
      <c r="K639" s="2427"/>
      <c r="L639" s="2427"/>
      <c r="M639" s="2427"/>
      <c r="N639" s="2427"/>
    </row>
    <row r="640" spans="1:14">
      <c r="A640" s="2426"/>
      <c r="B640" s="952"/>
      <c r="C640" s="952"/>
    </row>
    <row r="641" spans="1:14" ht="15">
      <c r="A641" s="2426"/>
      <c r="B641" s="941"/>
      <c r="C641" s="941"/>
      <c r="E641"/>
      <c r="F641"/>
      <c r="G641"/>
      <c r="H641"/>
      <c r="I641"/>
      <c r="J641"/>
      <c r="K641"/>
      <c r="L641"/>
      <c r="M641"/>
      <c r="N641" s="943"/>
    </row>
    <row r="642" spans="1:14" ht="15">
      <c r="A642" s="2426"/>
      <c r="B642" s="941"/>
      <c r="C642" s="941"/>
      <c r="D642"/>
      <c r="E642"/>
      <c r="F642"/>
      <c r="G642"/>
      <c r="H642"/>
      <c r="I642"/>
      <c r="J642"/>
      <c r="K642"/>
      <c r="L642"/>
      <c r="M642"/>
      <c r="N642" s="943"/>
    </row>
    <row r="643" spans="1:14" ht="15">
      <c r="A643" s="2426"/>
      <c r="B643" s="941"/>
      <c r="C643" s="941"/>
      <c r="D643"/>
      <c r="E643"/>
      <c r="F643"/>
      <c r="G643"/>
      <c r="H643"/>
      <c r="I643"/>
      <c r="J643"/>
      <c r="K643"/>
      <c r="L643"/>
      <c r="M643"/>
      <c r="N643" s="943"/>
    </row>
    <row r="644" spans="1:14" ht="15">
      <c r="A644" s="2426"/>
      <c r="B644" s="941"/>
      <c r="C644" s="941"/>
      <c r="D644"/>
      <c r="E644"/>
      <c r="F644"/>
      <c r="G644"/>
      <c r="H644"/>
      <c r="I644"/>
      <c r="J644"/>
      <c r="K644"/>
      <c r="L644"/>
      <c r="M644"/>
      <c r="N644" s="943"/>
    </row>
    <row r="645" spans="1:14" ht="15">
      <c r="A645" s="2426"/>
      <c r="B645" s="945"/>
      <c r="C645" s="945"/>
      <c r="D645"/>
      <c r="E645"/>
      <c r="F645"/>
      <c r="G645"/>
      <c r="H645"/>
      <c r="I645"/>
      <c r="J645"/>
      <c r="K645"/>
      <c r="L645"/>
      <c r="M645"/>
      <c r="N645" s="943"/>
    </row>
    <row r="646" spans="1:14" ht="15">
      <c r="A646" s="2426"/>
      <c r="B646" s="945"/>
      <c r="C646" s="945"/>
      <c r="D646"/>
      <c r="E646"/>
      <c r="F646"/>
      <c r="G646"/>
      <c r="H646"/>
      <c r="I646"/>
      <c r="J646"/>
      <c r="K646"/>
      <c r="L646"/>
      <c r="M646"/>
      <c r="N646" s="943"/>
    </row>
    <row r="647" spans="1:14" ht="15">
      <c r="A647" s="2426"/>
      <c r="B647" s="945"/>
      <c r="C647" s="945"/>
      <c r="D647"/>
      <c r="E647"/>
      <c r="F647"/>
      <c r="G647"/>
      <c r="H647"/>
      <c r="I647"/>
      <c r="J647"/>
      <c r="K647"/>
      <c r="L647"/>
      <c r="M647"/>
      <c r="N647"/>
    </row>
    <row r="648" spans="1:14" ht="15">
      <c r="A648" s="2426"/>
      <c r="B648" s="945"/>
      <c r="C648" s="945"/>
      <c r="D648"/>
      <c r="E648"/>
      <c r="F648"/>
      <c r="G648"/>
      <c r="H648"/>
      <c r="I648"/>
      <c r="J648"/>
      <c r="K648"/>
      <c r="L648"/>
      <c r="M648"/>
      <c r="N648"/>
    </row>
    <row r="649" spans="1:14" ht="15">
      <c r="A649" s="945"/>
      <c r="B649" s="945"/>
      <c r="C649" s="945"/>
      <c r="D649"/>
      <c r="E649"/>
      <c r="F649"/>
      <c r="G649"/>
      <c r="H649"/>
      <c r="I649"/>
      <c r="J649"/>
      <c r="K649"/>
      <c r="L649"/>
      <c r="M649"/>
      <c r="N649"/>
    </row>
    <row r="650" spans="1:14">
      <c r="A650" s="949"/>
      <c r="B650" s="2427"/>
      <c r="C650" s="2427"/>
      <c r="D650" s="2427"/>
      <c r="E650" s="2427"/>
      <c r="F650" s="2427"/>
      <c r="G650" s="2427"/>
      <c r="H650" s="2427"/>
      <c r="I650" s="2427"/>
      <c r="J650" s="2427"/>
      <c r="K650" s="2427"/>
      <c r="L650" s="2427"/>
      <c r="M650" s="2427"/>
      <c r="N650" s="2427"/>
    </row>
    <row r="651" spans="1:14">
      <c r="A651" s="2426"/>
      <c r="B651" s="952"/>
      <c r="C651" s="952"/>
    </row>
    <row r="652" spans="1:14" ht="15">
      <c r="A652" s="2426"/>
      <c r="B652" s="941"/>
      <c r="C652" s="941"/>
      <c r="E652"/>
      <c r="F652"/>
      <c r="G652"/>
      <c r="H652"/>
      <c r="I652"/>
      <c r="J652"/>
      <c r="K652"/>
      <c r="L652"/>
      <c r="M652"/>
      <c r="N652" s="943"/>
    </row>
    <row r="653" spans="1:14" ht="15">
      <c r="A653" s="2426"/>
      <c r="B653" s="941"/>
      <c r="C653" s="941"/>
      <c r="D653"/>
      <c r="E653"/>
      <c r="F653"/>
      <c r="G653"/>
      <c r="H653"/>
      <c r="I653"/>
      <c r="J653"/>
      <c r="K653"/>
      <c r="L653"/>
      <c r="M653"/>
      <c r="N653" s="943"/>
    </row>
    <row r="654" spans="1:14" ht="15">
      <c r="A654" s="2426"/>
      <c r="B654" s="941"/>
      <c r="C654" s="941"/>
      <c r="D654"/>
      <c r="E654"/>
      <c r="F654"/>
      <c r="G654"/>
      <c r="H654"/>
      <c r="I654"/>
      <c r="J654"/>
      <c r="K654"/>
      <c r="L654"/>
      <c r="M654"/>
      <c r="N654" s="943"/>
    </row>
    <row r="655" spans="1:14" ht="15">
      <c r="A655" s="2426"/>
      <c r="B655" s="941"/>
      <c r="C655" s="941"/>
      <c r="D655"/>
      <c r="E655"/>
      <c r="F655"/>
      <c r="G655"/>
      <c r="H655"/>
      <c r="I655"/>
      <c r="J655"/>
      <c r="K655"/>
      <c r="L655"/>
      <c r="M655"/>
      <c r="N655" s="943"/>
    </row>
    <row r="656" spans="1:14" ht="15">
      <c r="A656" s="2426"/>
      <c r="B656" s="945"/>
      <c r="C656" s="945"/>
      <c r="D656"/>
      <c r="E656"/>
      <c r="F656"/>
      <c r="G656"/>
      <c r="H656"/>
      <c r="I656"/>
      <c r="J656"/>
      <c r="K656"/>
      <c r="L656"/>
      <c r="M656"/>
      <c r="N656" s="943"/>
    </row>
    <row r="657" spans="1:14" ht="15">
      <c r="A657" s="2426"/>
      <c r="B657" s="945"/>
      <c r="C657" s="945"/>
      <c r="D657"/>
      <c r="E657"/>
      <c r="F657"/>
      <c r="G657"/>
      <c r="H657"/>
      <c r="I657"/>
      <c r="J657"/>
      <c r="K657"/>
      <c r="L657"/>
      <c r="M657"/>
      <c r="N657" s="943"/>
    </row>
    <row r="658" spans="1:14" ht="15">
      <c r="A658" s="2426"/>
      <c r="B658" s="945"/>
      <c r="C658" s="945"/>
      <c r="D658"/>
      <c r="E658"/>
      <c r="F658"/>
      <c r="G658"/>
      <c r="H658"/>
      <c r="I658"/>
      <c r="J658"/>
      <c r="K658"/>
      <c r="L658"/>
      <c r="M658"/>
      <c r="N658"/>
    </row>
    <row r="659" spans="1:14" ht="15">
      <c r="A659" s="2426"/>
      <c r="B659" s="945"/>
      <c r="C659" s="945"/>
      <c r="D659"/>
      <c r="E659"/>
      <c r="F659"/>
      <c r="G659"/>
      <c r="H659"/>
      <c r="I659"/>
      <c r="J659"/>
      <c r="K659"/>
      <c r="L659"/>
      <c r="M659"/>
      <c r="N659"/>
    </row>
    <row r="660" spans="1:14" ht="15">
      <c r="A660" s="945"/>
      <c r="B660" s="945"/>
      <c r="C660" s="945"/>
      <c r="D660"/>
      <c r="E660"/>
      <c r="F660"/>
      <c r="G660"/>
      <c r="H660"/>
      <c r="I660"/>
      <c r="J660"/>
      <c r="K660"/>
      <c r="L660"/>
      <c r="M660"/>
      <c r="N660"/>
    </row>
    <row r="661" spans="1:14">
      <c r="A661" s="949"/>
      <c r="B661" s="2427"/>
      <c r="C661" s="2427"/>
      <c r="D661" s="2427"/>
      <c r="E661" s="2427"/>
      <c r="F661" s="2427"/>
      <c r="G661" s="2427"/>
      <c r="H661" s="2427"/>
      <c r="I661" s="2427"/>
      <c r="J661" s="2427"/>
      <c r="K661" s="2427"/>
      <c r="L661" s="2427"/>
      <c r="M661" s="2427"/>
      <c r="N661" s="2427"/>
    </row>
    <row r="662" spans="1:14">
      <c r="A662" s="2426"/>
      <c r="B662" s="952"/>
      <c r="C662" s="952"/>
    </row>
    <row r="663" spans="1:14" ht="15">
      <c r="A663" s="2426"/>
      <c r="B663" s="941"/>
      <c r="C663" s="941"/>
      <c r="E663"/>
      <c r="F663"/>
      <c r="G663"/>
      <c r="H663"/>
      <c r="I663"/>
      <c r="J663"/>
      <c r="K663"/>
      <c r="L663"/>
      <c r="M663"/>
      <c r="N663" s="943"/>
    </row>
    <row r="664" spans="1:14" ht="15">
      <c r="A664" s="2426"/>
      <c r="B664" s="941"/>
      <c r="C664" s="941"/>
      <c r="D664"/>
      <c r="E664"/>
      <c r="F664"/>
      <c r="G664"/>
      <c r="H664"/>
      <c r="I664"/>
      <c r="J664"/>
      <c r="K664"/>
      <c r="L664"/>
      <c r="M664"/>
      <c r="N664" s="943"/>
    </row>
    <row r="665" spans="1:14" ht="15">
      <c r="A665" s="2426"/>
      <c r="B665" s="941"/>
      <c r="C665" s="941"/>
      <c r="D665"/>
      <c r="E665"/>
      <c r="F665"/>
      <c r="G665"/>
      <c r="H665"/>
      <c r="I665"/>
      <c r="J665"/>
      <c r="K665"/>
      <c r="L665"/>
      <c r="M665"/>
      <c r="N665" s="943"/>
    </row>
    <row r="666" spans="1:14" ht="15">
      <c r="A666" s="2426"/>
      <c r="B666" s="941"/>
      <c r="C666" s="941"/>
      <c r="D666"/>
      <c r="E666"/>
      <c r="F666"/>
      <c r="G666"/>
      <c r="H666"/>
      <c r="I666"/>
      <c r="J666"/>
      <c r="K666"/>
      <c r="L666"/>
      <c r="M666"/>
      <c r="N666" s="943"/>
    </row>
    <row r="667" spans="1:14" ht="15">
      <c r="A667" s="2426"/>
      <c r="B667" s="945"/>
      <c r="C667" s="945"/>
      <c r="D667"/>
      <c r="E667"/>
      <c r="F667"/>
      <c r="G667"/>
      <c r="H667"/>
      <c r="I667"/>
      <c r="J667"/>
      <c r="K667"/>
      <c r="L667"/>
      <c r="M667"/>
      <c r="N667" s="943"/>
    </row>
    <row r="668" spans="1:14" ht="15">
      <c r="A668" s="2426"/>
      <c r="B668" s="945"/>
      <c r="C668" s="945"/>
      <c r="D668"/>
      <c r="E668"/>
      <c r="F668"/>
      <c r="G668"/>
      <c r="H668"/>
      <c r="I668"/>
      <c r="J668"/>
      <c r="K668"/>
      <c r="L668"/>
      <c r="M668"/>
      <c r="N668" s="943"/>
    </row>
    <row r="669" spans="1:14" ht="15">
      <c r="A669" s="2426"/>
      <c r="B669" s="945"/>
      <c r="C669" s="945"/>
      <c r="D669"/>
      <c r="E669"/>
      <c r="F669"/>
      <c r="G669"/>
      <c r="H669"/>
      <c r="I669"/>
      <c r="J669"/>
      <c r="K669"/>
      <c r="L669"/>
      <c r="M669"/>
      <c r="N669"/>
    </row>
    <row r="670" spans="1:14" ht="15">
      <c r="A670" s="2426"/>
      <c r="B670" s="945"/>
      <c r="C670" s="945"/>
      <c r="D670"/>
      <c r="E670"/>
      <c r="F670"/>
      <c r="G670"/>
      <c r="H670"/>
      <c r="I670"/>
      <c r="J670"/>
      <c r="K670"/>
      <c r="L670"/>
      <c r="M670"/>
      <c r="N670"/>
    </row>
    <row r="671" spans="1:14" ht="15">
      <c r="A671" s="945"/>
      <c r="B671" s="945"/>
      <c r="C671" s="945"/>
      <c r="D671"/>
      <c r="E671"/>
      <c r="F671"/>
      <c r="G671"/>
      <c r="H671"/>
      <c r="I671"/>
      <c r="J671"/>
      <c r="K671"/>
      <c r="L671"/>
      <c r="M671"/>
      <c r="N671"/>
    </row>
    <row r="672" spans="1:14">
      <c r="A672" s="949"/>
      <c r="B672" s="2427"/>
      <c r="C672" s="2427"/>
      <c r="D672" s="2427"/>
      <c r="E672" s="2427"/>
      <c r="F672" s="2427"/>
      <c r="G672" s="2427"/>
      <c r="H672" s="2427"/>
      <c r="I672" s="2427"/>
      <c r="J672" s="2427"/>
      <c r="K672" s="2427"/>
      <c r="L672" s="2427"/>
      <c r="M672" s="2427"/>
      <c r="N672" s="2427"/>
    </row>
    <row r="673" spans="1:14">
      <c r="A673" s="2426"/>
      <c r="B673" s="952"/>
      <c r="C673" s="952"/>
    </row>
    <row r="674" spans="1:14" ht="15">
      <c r="A674" s="2426"/>
      <c r="B674" s="941"/>
      <c r="C674" s="941"/>
      <c r="E674"/>
      <c r="F674"/>
      <c r="G674"/>
      <c r="H674"/>
      <c r="I674"/>
      <c r="J674"/>
      <c r="K674"/>
      <c r="L674"/>
      <c r="M674"/>
      <c r="N674" s="943"/>
    </row>
    <row r="675" spans="1:14" ht="15">
      <c r="A675" s="2426"/>
      <c r="B675" s="941"/>
      <c r="C675" s="941"/>
      <c r="D675"/>
      <c r="E675"/>
      <c r="F675"/>
      <c r="G675"/>
      <c r="H675"/>
      <c r="I675"/>
      <c r="J675"/>
      <c r="K675"/>
      <c r="L675"/>
      <c r="M675"/>
      <c r="N675" s="943"/>
    </row>
    <row r="676" spans="1:14" ht="15">
      <c r="A676" s="2426"/>
      <c r="B676" s="941"/>
      <c r="C676" s="941"/>
      <c r="D676"/>
      <c r="E676"/>
      <c r="F676"/>
      <c r="G676"/>
      <c r="H676"/>
      <c r="I676"/>
      <c r="J676"/>
      <c r="K676"/>
      <c r="L676"/>
      <c r="M676"/>
      <c r="N676" s="943"/>
    </row>
    <row r="677" spans="1:14" ht="15">
      <c r="A677" s="2426"/>
      <c r="B677" s="941"/>
      <c r="C677" s="941"/>
      <c r="D677"/>
      <c r="E677"/>
      <c r="F677"/>
      <c r="G677"/>
      <c r="H677"/>
      <c r="I677"/>
      <c r="J677"/>
      <c r="K677"/>
      <c r="L677"/>
      <c r="M677"/>
      <c r="N677" s="943"/>
    </row>
    <row r="678" spans="1:14" ht="15">
      <c r="A678" s="2426"/>
      <c r="B678" s="945"/>
      <c r="C678" s="945"/>
      <c r="D678"/>
      <c r="E678"/>
      <c r="F678"/>
      <c r="G678"/>
      <c r="H678"/>
      <c r="I678"/>
      <c r="J678"/>
      <c r="K678"/>
      <c r="L678"/>
      <c r="M678"/>
      <c r="N678" s="943"/>
    </row>
    <row r="679" spans="1:14" ht="15">
      <c r="A679" s="2426"/>
      <c r="B679" s="945"/>
      <c r="C679" s="945"/>
      <c r="D679"/>
      <c r="E679"/>
      <c r="F679"/>
      <c r="G679"/>
      <c r="H679"/>
      <c r="I679"/>
      <c r="J679"/>
      <c r="K679"/>
      <c r="L679"/>
      <c r="M679"/>
      <c r="N679" s="943"/>
    </row>
    <row r="680" spans="1:14" ht="15">
      <c r="A680" s="2426"/>
      <c r="B680" s="945"/>
      <c r="C680" s="945"/>
      <c r="D680"/>
      <c r="E680"/>
      <c r="F680"/>
      <c r="G680"/>
      <c r="H680"/>
      <c r="I680"/>
      <c r="J680"/>
      <c r="K680"/>
      <c r="L680"/>
      <c r="M680"/>
      <c r="N680"/>
    </row>
    <row r="681" spans="1:14" ht="15">
      <c r="A681" s="2426"/>
      <c r="B681" s="945"/>
      <c r="C681" s="945"/>
      <c r="D681"/>
      <c r="E681"/>
      <c r="F681"/>
      <c r="G681"/>
      <c r="H681"/>
      <c r="I681"/>
      <c r="J681"/>
      <c r="K681"/>
      <c r="L681"/>
      <c r="M681"/>
      <c r="N681"/>
    </row>
    <row r="682" spans="1:14" ht="15">
      <c r="A682" s="945"/>
      <c r="B682" s="945"/>
      <c r="C682" s="945"/>
      <c r="D682"/>
      <c r="E682"/>
      <c r="F682"/>
      <c r="G682"/>
      <c r="H682"/>
      <c r="I682"/>
      <c r="J682"/>
      <c r="K682"/>
      <c r="L682"/>
      <c r="M682"/>
      <c r="N682"/>
    </row>
    <row r="683" spans="1:14">
      <c r="A683" s="949"/>
      <c r="B683" s="2427"/>
      <c r="C683" s="2427"/>
      <c r="D683" s="2427"/>
      <c r="E683" s="2427"/>
      <c r="F683" s="2427"/>
      <c r="G683" s="2427"/>
      <c r="H683" s="2427"/>
      <c r="I683" s="2427"/>
      <c r="J683" s="2427"/>
      <c r="K683" s="2427"/>
      <c r="L683" s="2427"/>
      <c r="M683" s="2427"/>
      <c r="N683" s="2427"/>
    </row>
    <row r="684" spans="1:14">
      <c r="A684" s="2426"/>
      <c r="B684" s="952"/>
      <c r="C684" s="952"/>
    </row>
    <row r="685" spans="1:14" ht="15">
      <c r="A685" s="2426"/>
      <c r="B685" s="941"/>
      <c r="C685" s="941"/>
      <c r="E685"/>
      <c r="F685"/>
      <c r="G685"/>
      <c r="H685"/>
      <c r="I685"/>
      <c r="J685"/>
      <c r="K685"/>
      <c r="L685"/>
      <c r="M685"/>
      <c r="N685" s="943"/>
    </row>
    <row r="686" spans="1:14" ht="15">
      <c r="A686" s="2426"/>
      <c r="B686" s="941"/>
      <c r="C686" s="941"/>
      <c r="D686"/>
      <c r="E686"/>
      <c r="F686"/>
      <c r="G686"/>
      <c r="H686"/>
      <c r="I686"/>
      <c r="J686"/>
      <c r="K686"/>
      <c r="L686"/>
      <c r="M686"/>
      <c r="N686" s="943"/>
    </row>
    <row r="687" spans="1:14" ht="15">
      <c r="A687" s="2426"/>
      <c r="B687" s="941"/>
      <c r="C687" s="941"/>
      <c r="D687"/>
      <c r="E687"/>
      <c r="F687"/>
      <c r="G687"/>
      <c r="H687"/>
      <c r="I687"/>
      <c r="J687"/>
      <c r="K687"/>
      <c r="L687"/>
      <c r="M687"/>
      <c r="N687" s="943"/>
    </row>
    <row r="688" spans="1:14" ht="15">
      <c r="A688" s="2426"/>
      <c r="B688" s="941"/>
      <c r="C688" s="941"/>
      <c r="D688"/>
      <c r="E688"/>
      <c r="F688"/>
      <c r="G688"/>
      <c r="H688"/>
      <c r="I688"/>
      <c r="J688"/>
      <c r="K688"/>
      <c r="L688"/>
      <c r="M688"/>
      <c r="N688" s="943"/>
    </row>
    <row r="689" spans="1:14" ht="15">
      <c r="A689" s="2426"/>
      <c r="B689" s="945"/>
      <c r="C689" s="945"/>
      <c r="D689"/>
      <c r="E689"/>
      <c r="F689"/>
      <c r="G689"/>
      <c r="H689"/>
      <c r="I689"/>
      <c r="J689"/>
      <c r="K689"/>
      <c r="L689"/>
      <c r="M689"/>
      <c r="N689" s="943"/>
    </row>
    <row r="690" spans="1:14" ht="15">
      <c r="A690" s="2426"/>
      <c r="B690" s="945"/>
      <c r="C690" s="945"/>
      <c r="D690"/>
      <c r="E690"/>
      <c r="F690"/>
      <c r="G690"/>
      <c r="H690"/>
      <c r="I690"/>
      <c r="J690"/>
      <c r="K690"/>
      <c r="L690"/>
      <c r="M690"/>
      <c r="N690" s="943"/>
    </row>
    <row r="691" spans="1:14" ht="15">
      <c r="A691" s="2426"/>
      <c r="B691" s="945"/>
      <c r="C691" s="945"/>
      <c r="D691"/>
      <c r="E691"/>
      <c r="F691"/>
      <c r="G691"/>
      <c r="H691"/>
      <c r="I691"/>
      <c r="J691"/>
      <c r="K691"/>
      <c r="L691"/>
      <c r="M691"/>
      <c r="N691"/>
    </row>
    <row r="692" spans="1:14" ht="15">
      <c r="A692" s="2426"/>
      <c r="B692" s="945"/>
      <c r="C692" s="945"/>
      <c r="D692"/>
      <c r="E692"/>
      <c r="F692"/>
      <c r="G692"/>
      <c r="H692"/>
      <c r="I692"/>
      <c r="J692"/>
      <c r="K692"/>
      <c r="L692"/>
      <c r="M692"/>
      <c r="N692"/>
    </row>
    <row r="693" spans="1:14" ht="15">
      <c r="A693" s="945"/>
      <c r="B693" s="945"/>
      <c r="C693" s="945"/>
      <c r="D693"/>
      <c r="E693"/>
      <c r="F693"/>
      <c r="G693"/>
      <c r="H693"/>
      <c r="I693"/>
      <c r="J693"/>
      <c r="K693"/>
      <c r="L693"/>
      <c r="M693"/>
      <c r="N693"/>
    </row>
    <row r="694" spans="1:14">
      <c r="A694" s="949"/>
      <c r="B694" s="2427"/>
      <c r="C694" s="2427"/>
      <c r="D694" s="2427"/>
      <c r="E694" s="2427"/>
      <c r="F694" s="2427"/>
      <c r="G694" s="2427"/>
      <c r="H694" s="2427"/>
      <c r="I694" s="2427"/>
      <c r="J694" s="2427"/>
      <c r="K694" s="2427"/>
      <c r="L694" s="2427"/>
      <c r="M694" s="2427"/>
      <c r="N694" s="2427"/>
    </row>
    <row r="695" spans="1:14">
      <c r="A695" s="2426"/>
      <c r="B695" s="952"/>
      <c r="C695" s="952"/>
    </row>
    <row r="696" spans="1:14" ht="15">
      <c r="A696" s="2426"/>
      <c r="B696" s="941"/>
      <c r="C696" s="941"/>
      <c r="E696"/>
      <c r="F696"/>
      <c r="G696"/>
      <c r="H696"/>
      <c r="I696"/>
      <c r="J696"/>
      <c r="K696"/>
      <c r="L696"/>
      <c r="M696"/>
      <c r="N696" s="943"/>
    </row>
    <row r="697" spans="1:14" ht="15">
      <c r="A697" s="2426"/>
      <c r="B697" s="941"/>
      <c r="C697" s="941"/>
      <c r="D697"/>
      <c r="E697"/>
      <c r="F697"/>
      <c r="G697"/>
      <c r="H697"/>
      <c r="I697"/>
      <c r="J697"/>
      <c r="K697"/>
      <c r="L697"/>
      <c r="M697"/>
      <c r="N697" s="943"/>
    </row>
    <row r="698" spans="1:14" ht="15">
      <c r="A698" s="2426"/>
      <c r="B698" s="941"/>
      <c r="C698" s="941"/>
      <c r="D698"/>
      <c r="E698"/>
      <c r="F698"/>
      <c r="G698"/>
      <c r="H698"/>
      <c r="I698"/>
      <c r="J698"/>
      <c r="K698"/>
      <c r="L698"/>
      <c r="M698"/>
      <c r="N698" s="943"/>
    </row>
    <row r="699" spans="1:14" ht="15">
      <c r="A699" s="2426"/>
      <c r="B699" s="941"/>
      <c r="C699" s="941"/>
      <c r="D699"/>
      <c r="E699"/>
      <c r="F699"/>
      <c r="G699"/>
      <c r="H699"/>
      <c r="I699"/>
      <c r="J699"/>
      <c r="K699"/>
      <c r="L699"/>
      <c r="M699"/>
      <c r="N699" s="943"/>
    </row>
    <row r="700" spans="1:14" ht="15">
      <c r="A700" s="2426"/>
      <c r="B700" s="945"/>
      <c r="C700" s="945"/>
      <c r="D700"/>
      <c r="E700"/>
      <c r="F700"/>
      <c r="G700"/>
      <c r="H700"/>
      <c r="I700"/>
      <c r="J700"/>
      <c r="K700"/>
      <c r="L700"/>
      <c r="M700"/>
      <c r="N700" s="943"/>
    </row>
    <row r="701" spans="1:14" ht="15">
      <c r="A701" s="2426"/>
      <c r="B701" s="945"/>
      <c r="C701" s="945"/>
      <c r="D701"/>
      <c r="E701"/>
      <c r="F701"/>
      <c r="G701"/>
      <c r="H701"/>
      <c r="I701"/>
      <c r="J701"/>
      <c r="K701"/>
      <c r="L701"/>
      <c r="M701"/>
      <c r="N701" s="943"/>
    </row>
    <row r="702" spans="1:14" ht="15">
      <c r="A702" s="2426"/>
      <c r="B702" s="945"/>
      <c r="C702" s="945"/>
      <c r="D702"/>
      <c r="E702"/>
      <c r="F702"/>
      <c r="G702"/>
      <c r="H702"/>
      <c r="I702"/>
      <c r="J702"/>
      <c r="K702"/>
      <c r="L702"/>
      <c r="M702"/>
      <c r="N702"/>
    </row>
    <row r="703" spans="1:14" ht="15">
      <c r="A703" s="2426"/>
      <c r="B703" s="945"/>
      <c r="C703" s="945"/>
      <c r="D703"/>
      <c r="E703"/>
      <c r="F703"/>
      <c r="G703"/>
      <c r="H703"/>
      <c r="I703"/>
      <c r="J703"/>
      <c r="K703"/>
      <c r="L703"/>
      <c r="M703"/>
      <c r="N703"/>
    </row>
    <row r="704" spans="1:14" ht="15">
      <c r="A704" s="945"/>
      <c r="B704" s="945"/>
      <c r="C704" s="945"/>
      <c r="D704"/>
      <c r="E704"/>
      <c r="F704"/>
      <c r="G704"/>
      <c r="H704"/>
      <c r="I704"/>
      <c r="J704"/>
      <c r="K704"/>
      <c r="L704"/>
      <c r="M704"/>
      <c r="N704"/>
    </row>
    <row r="705" spans="1:14">
      <c r="A705" s="949"/>
      <c r="B705" s="2427"/>
      <c r="C705" s="2427"/>
      <c r="D705" s="2427"/>
      <c r="E705" s="2427"/>
      <c r="F705" s="2427"/>
      <c r="G705" s="2427"/>
      <c r="H705" s="2427"/>
      <c r="I705" s="2427"/>
      <c r="J705" s="2427"/>
      <c r="K705" s="2427"/>
      <c r="L705" s="2427"/>
      <c r="M705" s="2427"/>
      <c r="N705" s="2427"/>
    </row>
    <row r="706" spans="1:14">
      <c r="A706" s="2426"/>
      <c r="B706" s="952"/>
      <c r="C706" s="952"/>
    </row>
    <row r="707" spans="1:14" ht="15">
      <c r="A707" s="2426"/>
      <c r="B707" s="941"/>
      <c r="C707" s="941"/>
      <c r="E707"/>
      <c r="F707"/>
      <c r="G707"/>
      <c r="H707"/>
      <c r="I707"/>
      <c r="J707"/>
      <c r="K707"/>
      <c r="L707"/>
      <c r="M707"/>
      <c r="N707" s="943"/>
    </row>
    <row r="708" spans="1:14" ht="15">
      <c r="A708" s="2426"/>
      <c r="B708" s="941"/>
      <c r="C708" s="941"/>
      <c r="D708"/>
      <c r="E708"/>
      <c r="F708"/>
      <c r="G708"/>
      <c r="H708"/>
      <c r="I708"/>
      <c r="J708"/>
      <c r="K708"/>
      <c r="L708"/>
      <c r="M708"/>
      <c r="N708" s="943"/>
    </row>
    <row r="709" spans="1:14" ht="15">
      <c r="A709" s="2426"/>
      <c r="B709" s="941"/>
      <c r="C709" s="941"/>
      <c r="D709"/>
      <c r="E709"/>
      <c r="F709"/>
      <c r="G709"/>
      <c r="H709"/>
      <c r="I709"/>
      <c r="J709"/>
      <c r="K709"/>
      <c r="L709"/>
      <c r="M709"/>
      <c r="N709" s="943"/>
    </row>
    <row r="710" spans="1:14" ht="15">
      <c r="A710" s="2426"/>
      <c r="B710" s="941"/>
      <c r="C710" s="941"/>
      <c r="D710"/>
      <c r="E710"/>
      <c r="F710"/>
      <c r="G710"/>
      <c r="H710"/>
      <c r="I710"/>
      <c r="J710"/>
      <c r="K710"/>
      <c r="L710"/>
      <c r="M710"/>
      <c r="N710" s="943"/>
    </row>
    <row r="711" spans="1:14" ht="15">
      <c r="A711" s="2426"/>
      <c r="B711" s="945"/>
      <c r="C711" s="945"/>
      <c r="D711"/>
      <c r="E711"/>
      <c r="F711"/>
      <c r="G711"/>
      <c r="H711"/>
      <c r="I711"/>
      <c r="J711"/>
      <c r="K711"/>
      <c r="L711"/>
      <c r="M711"/>
      <c r="N711" s="943"/>
    </row>
    <row r="712" spans="1:14" ht="15">
      <c r="A712" s="2426"/>
      <c r="B712" s="945"/>
      <c r="C712" s="945"/>
      <c r="D712"/>
      <c r="E712"/>
      <c r="F712"/>
      <c r="G712"/>
      <c r="H712"/>
      <c r="I712"/>
      <c r="J712"/>
      <c r="K712"/>
      <c r="L712"/>
      <c r="M712"/>
      <c r="N712" s="943"/>
    </row>
    <row r="713" spans="1:14" ht="15">
      <c r="A713" s="2426"/>
      <c r="B713" s="945"/>
      <c r="C713" s="945"/>
      <c r="D713"/>
      <c r="E713"/>
      <c r="F713"/>
      <c r="G713"/>
      <c r="H713"/>
      <c r="I713"/>
      <c r="J713"/>
      <c r="K713"/>
      <c r="L713"/>
      <c r="M713"/>
      <c r="N713"/>
    </row>
    <row r="714" spans="1:14" ht="15">
      <c r="A714" s="2426"/>
      <c r="B714" s="945"/>
      <c r="C714" s="945"/>
      <c r="D714"/>
      <c r="E714"/>
      <c r="F714"/>
      <c r="G714"/>
      <c r="H714"/>
      <c r="I714"/>
      <c r="J714"/>
      <c r="K714"/>
      <c r="L714"/>
      <c r="M714"/>
      <c r="N714"/>
    </row>
    <row r="715" spans="1:14" ht="15">
      <c r="A715" s="945"/>
      <c r="B715" s="945"/>
      <c r="C715" s="945"/>
      <c r="D715"/>
      <c r="E715"/>
      <c r="F715"/>
      <c r="G715"/>
      <c r="H715"/>
      <c r="I715"/>
      <c r="J715"/>
      <c r="K715"/>
      <c r="L715"/>
      <c r="M715"/>
      <c r="N715"/>
    </row>
    <row r="716" spans="1:14">
      <c r="A716" s="949"/>
      <c r="B716" s="2427"/>
      <c r="C716" s="2427"/>
      <c r="D716" s="2427"/>
      <c r="E716" s="2427"/>
      <c r="F716" s="2427"/>
      <c r="G716" s="2427"/>
      <c r="H716" s="2427"/>
      <c r="I716" s="2427"/>
      <c r="J716" s="2427"/>
      <c r="K716" s="2427"/>
      <c r="L716" s="2427"/>
      <c r="M716" s="2427"/>
      <c r="N716" s="2427"/>
    </row>
    <row r="717" spans="1:14">
      <c r="A717" s="2426"/>
      <c r="B717" s="952"/>
      <c r="C717" s="952"/>
    </row>
    <row r="718" spans="1:14" ht="15">
      <c r="A718" s="2426"/>
      <c r="B718" s="941"/>
      <c r="C718" s="941"/>
      <c r="E718"/>
      <c r="F718"/>
      <c r="G718"/>
      <c r="H718"/>
      <c r="I718"/>
      <c r="J718"/>
      <c r="K718"/>
      <c r="L718"/>
      <c r="M718"/>
      <c r="N718" s="943"/>
    </row>
    <row r="719" spans="1:14" ht="15">
      <c r="A719" s="2426"/>
      <c r="B719" s="941"/>
      <c r="C719" s="941"/>
      <c r="D719"/>
      <c r="E719"/>
      <c r="F719"/>
      <c r="G719"/>
      <c r="H719"/>
      <c r="I719"/>
      <c r="J719"/>
      <c r="K719"/>
      <c r="L719"/>
      <c r="M719"/>
      <c r="N719" s="943"/>
    </row>
    <row r="720" spans="1:14" ht="15">
      <c r="A720" s="2426"/>
      <c r="B720" s="941"/>
      <c r="C720" s="941"/>
      <c r="D720"/>
      <c r="E720"/>
      <c r="F720"/>
      <c r="G720"/>
      <c r="H720"/>
      <c r="I720"/>
      <c r="J720"/>
      <c r="K720"/>
      <c r="L720"/>
      <c r="M720"/>
      <c r="N720" s="943"/>
    </row>
    <row r="721" spans="1:14" ht="15">
      <c r="A721" s="2426"/>
      <c r="B721" s="941"/>
      <c r="C721" s="941"/>
      <c r="D721"/>
      <c r="E721"/>
      <c r="F721"/>
      <c r="G721"/>
      <c r="H721"/>
      <c r="I721"/>
      <c r="J721"/>
      <c r="K721"/>
      <c r="L721"/>
      <c r="M721"/>
      <c r="N721" s="943"/>
    </row>
    <row r="722" spans="1:14" ht="15">
      <c r="A722" s="2426"/>
      <c r="B722" s="945"/>
      <c r="C722" s="945"/>
      <c r="D722"/>
      <c r="E722"/>
      <c r="F722"/>
      <c r="G722"/>
      <c r="H722"/>
      <c r="I722"/>
      <c r="J722"/>
      <c r="K722"/>
      <c r="L722"/>
      <c r="M722"/>
      <c r="N722" s="943"/>
    </row>
    <row r="723" spans="1:14" ht="15">
      <c r="A723" s="2426"/>
      <c r="B723" s="945"/>
      <c r="C723" s="945"/>
      <c r="D723"/>
      <c r="E723"/>
      <c r="F723"/>
      <c r="G723"/>
      <c r="H723"/>
      <c r="I723"/>
      <c r="J723"/>
      <c r="K723"/>
      <c r="L723"/>
      <c r="M723"/>
      <c r="N723" s="943"/>
    </row>
    <row r="724" spans="1:14" ht="15">
      <c r="A724" s="2426"/>
      <c r="B724" s="945"/>
      <c r="C724" s="945"/>
      <c r="D724"/>
      <c r="E724"/>
      <c r="F724"/>
      <c r="G724"/>
      <c r="H724"/>
      <c r="I724"/>
      <c r="J724"/>
      <c r="K724"/>
      <c r="L724"/>
      <c r="M724"/>
      <c r="N724"/>
    </row>
    <row r="725" spans="1:14" ht="15">
      <c r="A725" s="2426"/>
      <c r="B725" s="945"/>
      <c r="C725" s="945"/>
      <c r="D725"/>
      <c r="E725"/>
      <c r="F725"/>
      <c r="G725"/>
      <c r="H725"/>
      <c r="I725"/>
      <c r="J725"/>
      <c r="K725"/>
      <c r="L725"/>
      <c r="M725"/>
      <c r="N725"/>
    </row>
    <row r="726" spans="1:14" ht="15">
      <c r="A726" s="945"/>
      <c r="B726" s="945"/>
      <c r="C726" s="945"/>
      <c r="D726"/>
      <c r="E726"/>
      <c r="F726"/>
      <c r="G726"/>
      <c r="H726"/>
      <c r="I726"/>
      <c r="J726"/>
      <c r="K726"/>
      <c r="L726"/>
      <c r="M726"/>
      <c r="N726"/>
    </row>
    <row r="727" spans="1:14">
      <c r="A727" s="949"/>
      <c r="B727" s="2427"/>
      <c r="C727" s="2427"/>
      <c r="D727" s="2427"/>
      <c r="E727" s="2427"/>
      <c r="F727" s="2427"/>
      <c r="G727" s="2427"/>
      <c r="H727" s="2427"/>
      <c r="I727" s="2427"/>
      <c r="J727" s="2427"/>
      <c r="K727" s="2427"/>
      <c r="L727" s="2427"/>
      <c r="M727" s="2427"/>
      <c r="N727" s="2427"/>
    </row>
    <row r="728" spans="1:14">
      <c r="A728" s="2426"/>
      <c r="B728" s="952"/>
      <c r="C728" s="952"/>
    </row>
    <row r="729" spans="1:14" ht="15">
      <c r="A729" s="2426"/>
      <c r="B729" s="941"/>
      <c r="C729" s="941"/>
      <c r="E729"/>
      <c r="F729"/>
      <c r="G729"/>
      <c r="H729"/>
      <c r="I729"/>
      <c r="J729"/>
      <c r="K729"/>
      <c r="L729"/>
      <c r="M729"/>
      <c r="N729" s="943"/>
    </row>
    <row r="730" spans="1:14" ht="15">
      <c r="A730" s="2426"/>
      <c r="B730" s="941"/>
      <c r="C730" s="941"/>
      <c r="D730"/>
      <c r="E730"/>
      <c r="F730"/>
      <c r="G730"/>
      <c r="H730"/>
      <c r="I730"/>
      <c r="J730"/>
      <c r="K730"/>
      <c r="L730"/>
      <c r="M730"/>
      <c r="N730" s="943"/>
    </row>
    <row r="731" spans="1:14" ht="15">
      <c r="A731" s="2426"/>
      <c r="B731" s="941"/>
      <c r="C731" s="941"/>
      <c r="D731"/>
      <c r="E731"/>
      <c r="F731"/>
      <c r="G731"/>
      <c r="H731"/>
      <c r="I731"/>
      <c r="J731"/>
      <c r="K731"/>
      <c r="L731"/>
      <c r="M731"/>
      <c r="N731" s="943"/>
    </row>
    <row r="732" spans="1:14" ht="15">
      <c r="A732" s="2426"/>
      <c r="B732" s="941"/>
      <c r="C732" s="941"/>
      <c r="D732"/>
      <c r="E732"/>
      <c r="F732"/>
      <c r="G732"/>
      <c r="H732"/>
      <c r="I732"/>
      <c r="J732"/>
      <c r="K732"/>
      <c r="L732"/>
      <c r="M732"/>
      <c r="N732" s="943"/>
    </row>
    <row r="733" spans="1:14" ht="15">
      <c r="A733" s="2426"/>
      <c r="B733" s="945"/>
      <c r="C733" s="945"/>
      <c r="D733"/>
      <c r="E733"/>
      <c r="F733"/>
      <c r="G733"/>
      <c r="H733"/>
      <c r="I733"/>
      <c r="J733"/>
      <c r="K733"/>
      <c r="L733"/>
      <c r="M733"/>
      <c r="N733" s="943"/>
    </row>
    <row r="734" spans="1:14" ht="15">
      <c r="A734" s="2426"/>
      <c r="B734" s="945"/>
      <c r="C734" s="945"/>
      <c r="D734"/>
      <c r="E734"/>
      <c r="F734"/>
      <c r="G734"/>
      <c r="H734"/>
      <c r="I734"/>
      <c r="J734"/>
      <c r="K734"/>
      <c r="L734"/>
      <c r="M734"/>
      <c r="N734" s="943"/>
    </row>
    <row r="735" spans="1:14" ht="15">
      <c r="A735" s="2426"/>
      <c r="B735" s="945"/>
      <c r="C735" s="945"/>
      <c r="D735"/>
      <c r="E735"/>
      <c r="F735"/>
      <c r="G735"/>
      <c r="H735"/>
      <c r="I735"/>
      <c r="J735"/>
      <c r="K735"/>
      <c r="L735"/>
      <c r="M735"/>
      <c r="N735"/>
    </row>
    <row r="736" spans="1:14" ht="15">
      <c r="A736" s="2426"/>
      <c r="B736" s="945"/>
      <c r="C736" s="945"/>
      <c r="D736"/>
      <c r="E736"/>
      <c r="F736"/>
      <c r="G736"/>
      <c r="H736"/>
      <c r="I736"/>
      <c r="J736"/>
      <c r="K736"/>
      <c r="L736"/>
      <c r="M736"/>
      <c r="N736"/>
    </row>
    <row r="737" spans="1:14" ht="15">
      <c r="A737" s="945"/>
      <c r="B737" s="945"/>
      <c r="C737" s="945"/>
      <c r="D737"/>
      <c r="E737"/>
      <c r="F737"/>
      <c r="G737"/>
      <c r="H737"/>
      <c r="I737"/>
      <c r="J737"/>
      <c r="K737"/>
      <c r="L737"/>
      <c r="M737"/>
      <c r="N737"/>
    </row>
    <row r="738" spans="1:14">
      <c r="A738" s="949"/>
      <c r="B738" s="2427"/>
      <c r="C738" s="2427"/>
      <c r="D738" s="2427"/>
      <c r="E738" s="2427"/>
      <c r="F738" s="2427"/>
      <c r="G738" s="2427"/>
      <c r="H738" s="2427"/>
      <c r="I738" s="2427"/>
      <c r="J738" s="2427"/>
      <c r="K738" s="2427"/>
      <c r="L738" s="2427"/>
      <c r="M738" s="2427"/>
      <c r="N738" s="2427"/>
    </row>
    <row r="739" spans="1:14">
      <c r="A739" s="2426"/>
      <c r="B739" s="952"/>
      <c r="C739" s="952"/>
    </row>
    <row r="740" spans="1:14" ht="15">
      <c r="A740" s="2426"/>
      <c r="B740" s="941"/>
      <c r="C740" s="941"/>
      <c r="E740"/>
      <c r="F740"/>
      <c r="G740"/>
      <c r="H740"/>
      <c r="I740"/>
      <c r="J740"/>
      <c r="K740"/>
      <c r="L740"/>
      <c r="M740"/>
      <c r="N740" s="943"/>
    </row>
    <row r="741" spans="1:14" ht="15">
      <c r="A741" s="2426"/>
      <c r="B741" s="941"/>
      <c r="C741" s="941"/>
      <c r="D741"/>
      <c r="E741"/>
      <c r="F741"/>
      <c r="G741"/>
      <c r="H741"/>
      <c r="I741"/>
      <c r="J741"/>
      <c r="K741"/>
      <c r="L741"/>
      <c r="M741"/>
      <c r="N741" s="943"/>
    </row>
    <row r="742" spans="1:14" ht="15">
      <c r="A742" s="2426"/>
      <c r="B742" s="941"/>
      <c r="C742" s="941"/>
      <c r="D742"/>
      <c r="E742"/>
      <c r="F742"/>
      <c r="G742"/>
      <c r="H742"/>
      <c r="I742"/>
      <c r="J742"/>
      <c r="K742"/>
      <c r="L742"/>
      <c r="M742"/>
      <c r="N742" s="943"/>
    </row>
    <row r="743" spans="1:14" ht="15">
      <c r="A743" s="2426"/>
      <c r="B743" s="941"/>
      <c r="C743" s="941"/>
      <c r="D743"/>
      <c r="E743"/>
      <c r="F743"/>
      <c r="G743"/>
      <c r="H743"/>
      <c r="I743"/>
      <c r="J743"/>
      <c r="K743"/>
      <c r="L743"/>
      <c r="M743"/>
      <c r="N743" s="943"/>
    </row>
    <row r="744" spans="1:14" ht="15">
      <c r="A744" s="2426"/>
      <c r="B744" s="945"/>
      <c r="C744" s="945"/>
      <c r="D744"/>
      <c r="E744"/>
      <c r="F744"/>
      <c r="G744"/>
      <c r="H744"/>
      <c r="I744"/>
      <c r="J744"/>
      <c r="K744"/>
      <c r="L744"/>
      <c r="M744"/>
      <c r="N744" s="943"/>
    </row>
    <row r="745" spans="1:14" ht="15">
      <c r="A745" s="2426"/>
      <c r="B745" s="945"/>
      <c r="C745" s="945"/>
      <c r="D745"/>
      <c r="E745"/>
      <c r="F745"/>
      <c r="G745"/>
      <c r="H745"/>
      <c r="I745"/>
      <c r="J745"/>
      <c r="K745"/>
      <c r="L745"/>
      <c r="M745"/>
      <c r="N745" s="943"/>
    </row>
    <row r="746" spans="1:14" ht="15">
      <c r="A746" s="2426"/>
      <c r="B746" s="945"/>
      <c r="C746" s="945"/>
      <c r="D746"/>
      <c r="E746"/>
      <c r="F746"/>
      <c r="G746"/>
      <c r="H746"/>
      <c r="I746"/>
      <c r="J746"/>
      <c r="K746"/>
      <c r="L746"/>
      <c r="M746"/>
      <c r="N746"/>
    </row>
    <row r="747" spans="1:14" ht="15">
      <c r="A747" s="2426"/>
      <c r="B747" s="945"/>
      <c r="C747" s="945"/>
      <c r="D747"/>
      <c r="E747"/>
      <c r="F747"/>
      <c r="G747"/>
      <c r="H747"/>
      <c r="I747"/>
      <c r="J747"/>
      <c r="K747"/>
      <c r="L747"/>
      <c r="M747"/>
      <c r="N747"/>
    </row>
    <row r="748" spans="1:14" ht="15">
      <c r="A748" s="945"/>
      <c r="B748" s="945"/>
      <c r="C748" s="945"/>
      <c r="D748"/>
      <c r="E748"/>
      <c r="F748"/>
      <c r="G748"/>
      <c r="H748"/>
      <c r="I748"/>
      <c r="J748"/>
      <c r="K748"/>
      <c r="L748"/>
      <c r="M748"/>
      <c r="N748"/>
    </row>
    <row r="749" spans="1:14">
      <c r="A749" s="949"/>
      <c r="B749" s="2427"/>
      <c r="C749" s="2427"/>
      <c r="D749" s="2427"/>
      <c r="E749" s="2427"/>
      <c r="F749" s="2427"/>
      <c r="G749" s="2427"/>
      <c r="H749" s="2427"/>
      <c r="I749" s="2427"/>
      <c r="J749" s="2427"/>
      <c r="K749" s="2427"/>
      <c r="L749" s="2427"/>
      <c r="M749" s="2427"/>
      <c r="N749" s="2427"/>
    </row>
    <row r="750" spans="1:14">
      <c r="A750" s="2426"/>
      <c r="B750" s="952"/>
      <c r="C750" s="952"/>
    </row>
    <row r="751" spans="1:14" ht="15">
      <c r="A751" s="2426"/>
      <c r="B751" s="941"/>
      <c r="C751" s="941"/>
      <c r="E751"/>
      <c r="F751"/>
      <c r="G751"/>
      <c r="H751"/>
      <c r="I751"/>
      <c r="J751"/>
      <c r="K751"/>
      <c r="L751"/>
      <c r="M751"/>
      <c r="N751" s="943"/>
    </row>
    <row r="752" spans="1:14" ht="15">
      <c r="A752" s="2426"/>
      <c r="B752" s="941"/>
      <c r="C752" s="941"/>
      <c r="D752"/>
      <c r="E752"/>
      <c r="F752"/>
      <c r="G752"/>
      <c r="H752"/>
      <c r="I752"/>
      <c r="J752"/>
      <c r="K752"/>
      <c r="L752"/>
      <c r="M752"/>
      <c r="N752" s="943"/>
    </row>
    <row r="753" spans="1:14" ht="15">
      <c r="A753" s="2426"/>
      <c r="B753" s="941"/>
      <c r="C753" s="941"/>
      <c r="D753"/>
      <c r="E753"/>
      <c r="F753"/>
      <c r="G753"/>
      <c r="H753"/>
      <c r="I753"/>
      <c r="J753"/>
      <c r="K753"/>
      <c r="L753"/>
      <c r="M753"/>
      <c r="N753" s="943"/>
    </row>
    <row r="754" spans="1:14" ht="15">
      <c r="A754" s="2426"/>
      <c r="B754" s="941"/>
      <c r="C754" s="941"/>
      <c r="D754"/>
      <c r="E754"/>
      <c r="F754"/>
      <c r="G754"/>
      <c r="H754"/>
      <c r="I754"/>
      <c r="J754"/>
      <c r="K754"/>
      <c r="L754"/>
      <c r="M754"/>
      <c r="N754" s="943"/>
    </row>
    <row r="755" spans="1:14" ht="15">
      <c r="A755" s="2426"/>
      <c r="B755" s="945"/>
      <c r="C755" s="945"/>
      <c r="D755"/>
      <c r="E755"/>
      <c r="F755"/>
      <c r="G755"/>
      <c r="H755"/>
      <c r="I755"/>
      <c r="J755"/>
      <c r="K755"/>
      <c r="L755"/>
      <c r="M755"/>
      <c r="N755" s="943"/>
    </row>
    <row r="756" spans="1:14" ht="15">
      <c r="A756" s="2426"/>
      <c r="B756" s="945"/>
      <c r="C756" s="945"/>
      <c r="D756"/>
      <c r="E756"/>
      <c r="F756"/>
      <c r="G756"/>
      <c r="H756"/>
      <c r="I756"/>
      <c r="J756"/>
      <c r="K756"/>
      <c r="L756"/>
      <c r="M756"/>
      <c r="N756" s="943"/>
    </row>
    <row r="757" spans="1:14" ht="15">
      <c r="A757" s="2426"/>
      <c r="B757" s="945"/>
      <c r="C757" s="945"/>
      <c r="D757"/>
      <c r="E757"/>
      <c r="F757"/>
      <c r="G757"/>
      <c r="H757"/>
      <c r="I757"/>
      <c r="J757"/>
      <c r="K757"/>
      <c r="L757"/>
      <c r="M757"/>
      <c r="N757"/>
    </row>
    <row r="758" spans="1:14" ht="15">
      <c r="A758" s="2426"/>
      <c r="B758" s="945"/>
      <c r="C758" s="945"/>
      <c r="D758"/>
      <c r="E758"/>
      <c r="F758"/>
      <c r="G758"/>
      <c r="H758"/>
      <c r="I758"/>
      <c r="J758"/>
      <c r="K758"/>
      <c r="L758"/>
      <c r="M758"/>
      <c r="N758"/>
    </row>
    <row r="759" spans="1:14" ht="15">
      <c r="A759" s="945"/>
      <c r="B759" s="945"/>
      <c r="C759" s="945"/>
      <c r="D759"/>
      <c r="E759"/>
      <c r="F759"/>
      <c r="G759"/>
      <c r="H759"/>
      <c r="I759"/>
      <c r="J759"/>
      <c r="K759"/>
      <c r="L759"/>
      <c r="M759"/>
      <c r="N759"/>
    </row>
    <row r="760" spans="1:14">
      <c r="A760" s="949"/>
      <c r="B760" s="2427"/>
      <c r="C760" s="2427"/>
      <c r="D760" s="2427"/>
      <c r="E760" s="2427"/>
      <c r="F760" s="2427"/>
      <c r="G760" s="2427"/>
      <c r="H760" s="2427"/>
      <c r="I760" s="2427"/>
      <c r="J760" s="2427"/>
      <c r="K760" s="2427"/>
      <c r="L760" s="2427"/>
      <c r="M760" s="2427"/>
      <c r="N760" s="2427"/>
    </row>
    <row r="761" spans="1:14">
      <c r="A761" s="2426"/>
      <c r="B761" s="952"/>
      <c r="C761" s="952"/>
    </row>
    <row r="762" spans="1:14" ht="15">
      <c r="A762" s="2426"/>
      <c r="B762" s="941"/>
      <c r="C762" s="941"/>
      <c r="E762"/>
      <c r="F762"/>
      <c r="G762"/>
      <c r="H762"/>
      <c r="I762"/>
      <c r="J762"/>
      <c r="K762"/>
      <c r="L762"/>
      <c r="M762"/>
      <c r="N762" s="943"/>
    </row>
    <row r="763" spans="1:14" ht="15">
      <c r="A763" s="2426"/>
      <c r="B763" s="941"/>
      <c r="C763" s="941"/>
      <c r="D763"/>
      <c r="E763"/>
      <c r="F763"/>
      <c r="G763"/>
      <c r="H763"/>
      <c r="I763"/>
      <c r="J763"/>
      <c r="K763"/>
      <c r="L763"/>
      <c r="M763"/>
      <c r="N763" s="943"/>
    </row>
    <row r="764" spans="1:14" ht="15">
      <c r="A764" s="2426"/>
      <c r="B764" s="941"/>
      <c r="C764" s="941"/>
      <c r="D764"/>
      <c r="E764"/>
      <c r="F764"/>
      <c r="G764"/>
      <c r="H764"/>
      <c r="I764"/>
      <c r="J764"/>
      <c r="K764"/>
      <c r="L764"/>
      <c r="M764"/>
      <c r="N764" s="943"/>
    </row>
    <row r="765" spans="1:14" ht="15">
      <c r="A765" s="2426"/>
      <c r="B765" s="941"/>
      <c r="C765" s="941"/>
      <c r="D765"/>
      <c r="E765"/>
      <c r="F765"/>
      <c r="G765"/>
      <c r="H765"/>
      <c r="I765"/>
      <c r="J765"/>
      <c r="K765"/>
      <c r="L765"/>
      <c r="M765"/>
      <c r="N765" s="943"/>
    </row>
    <row r="766" spans="1:14" ht="15">
      <c r="A766" s="2426"/>
      <c r="B766" s="945"/>
      <c r="C766" s="945"/>
      <c r="D766"/>
      <c r="E766"/>
      <c r="F766"/>
      <c r="G766"/>
      <c r="H766"/>
      <c r="I766"/>
      <c r="J766"/>
      <c r="K766"/>
      <c r="L766"/>
      <c r="M766"/>
      <c r="N766" s="943"/>
    </row>
    <row r="767" spans="1:14" ht="15">
      <c r="A767" s="2426"/>
      <c r="B767" s="945"/>
      <c r="C767" s="945"/>
      <c r="D767"/>
      <c r="E767"/>
      <c r="F767"/>
      <c r="G767"/>
      <c r="H767"/>
      <c r="I767"/>
      <c r="J767"/>
      <c r="K767"/>
      <c r="L767"/>
      <c r="M767"/>
      <c r="N767" s="943"/>
    </row>
    <row r="768" spans="1:14" ht="15">
      <c r="A768" s="2426"/>
      <c r="B768" s="945"/>
      <c r="C768" s="945"/>
      <c r="D768"/>
      <c r="E768"/>
      <c r="F768"/>
      <c r="G768"/>
      <c r="H768"/>
      <c r="I768"/>
      <c r="J768"/>
      <c r="K768"/>
      <c r="L768"/>
      <c r="M768"/>
      <c r="N768"/>
    </row>
    <row r="769" spans="1:14" ht="15">
      <c r="A769" s="2426"/>
      <c r="B769" s="945"/>
      <c r="C769" s="945"/>
      <c r="D769"/>
      <c r="E769"/>
      <c r="F769"/>
      <c r="G769"/>
      <c r="H769"/>
      <c r="I769"/>
      <c r="J769"/>
      <c r="K769"/>
      <c r="L769"/>
      <c r="M769"/>
      <c r="N769"/>
    </row>
    <row r="770" spans="1:14" ht="15">
      <c r="A770" s="945"/>
      <c r="B770" s="945"/>
      <c r="C770" s="945"/>
      <c r="D770"/>
      <c r="E770"/>
      <c r="F770"/>
      <c r="G770"/>
      <c r="H770"/>
      <c r="I770"/>
      <c r="J770"/>
      <c r="K770"/>
      <c r="L770"/>
      <c r="M770"/>
      <c r="N770"/>
    </row>
    <row r="771" spans="1:14">
      <c r="A771" s="949"/>
      <c r="B771" s="2427"/>
      <c r="C771" s="2427"/>
      <c r="D771" s="2427"/>
      <c r="E771" s="2427"/>
      <c r="F771" s="2427"/>
      <c r="G771" s="2427"/>
      <c r="H771" s="2427"/>
      <c r="I771" s="2427"/>
      <c r="J771" s="2427"/>
      <c r="K771" s="2427"/>
      <c r="L771" s="2427"/>
      <c r="M771" s="2427"/>
      <c r="N771" s="2427"/>
    </row>
    <row r="772" spans="1:14">
      <c r="A772" s="2426"/>
      <c r="B772" s="952"/>
      <c r="C772" s="952"/>
    </row>
    <row r="773" spans="1:14" ht="15">
      <c r="A773" s="2426"/>
      <c r="B773" s="941"/>
      <c r="C773" s="941"/>
      <c r="E773"/>
      <c r="F773"/>
      <c r="G773"/>
      <c r="H773"/>
      <c r="I773"/>
      <c r="J773"/>
      <c r="K773"/>
      <c r="L773"/>
      <c r="M773"/>
      <c r="N773" s="943"/>
    </row>
    <row r="774" spans="1:14" ht="15">
      <c r="A774" s="2426"/>
      <c r="B774" s="941"/>
      <c r="C774" s="941"/>
      <c r="D774"/>
      <c r="E774"/>
      <c r="F774"/>
      <c r="G774"/>
      <c r="H774"/>
      <c r="I774"/>
      <c r="J774"/>
      <c r="K774"/>
      <c r="L774"/>
      <c r="M774"/>
      <c r="N774" s="943"/>
    </row>
    <row r="775" spans="1:14" ht="15">
      <c r="A775" s="2426"/>
      <c r="B775" s="941"/>
      <c r="C775" s="941"/>
      <c r="D775"/>
      <c r="E775"/>
      <c r="F775"/>
      <c r="G775"/>
      <c r="H775"/>
      <c r="I775"/>
      <c r="J775"/>
      <c r="K775"/>
      <c r="L775"/>
      <c r="M775"/>
      <c r="N775" s="943"/>
    </row>
    <row r="776" spans="1:14" ht="15">
      <c r="A776" s="2426"/>
      <c r="B776" s="941"/>
      <c r="C776" s="941"/>
      <c r="D776"/>
      <c r="E776"/>
      <c r="F776"/>
      <c r="G776"/>
      <c r="H776"/>
      <c r="I776"/>
      <c r="J776"/>
      <c r="K776"/>
      <c r="L776"/>
      <c r="M776"/>
      <c r="N776" s="943"/>
    </row>
    <row r="777" spans="1:14" ht="15">
      <c r="A777" s="2426"/>
      <c r="B777" s="945"/>
      <c r="C777" s="945"/>
      <c r="D777"/>
      <c r="E777"/>
      <c r="F777"/>
      <c r="G777"/>
      <c r="H777"/>
      <c r="I777"/>
      <c r="J777"/>
      <c r="K777"/>
      <c r="L777"/>
      <c r="M777"/>
      <c r="N777" s="943"/>
    </row>
    <row r="778" spans="1:14" ht="15">
      <c r="A778" s="2426"/>
      <c r="B778" s="945"/>
      <c r="C778" s="945"/>
      <c r="D778"/>
      <c r="E778"/>
      <c r="F778"/>
      <c r="G778"/>
      <c r="H778"/>
      <c r="I778"/>
      <c r="J778"/>
      <c r="K778"/>
      <c r="L778"/>
      <c r="M778"/>
      <c r="N778" s="943"/>
    </row>
    <row r="779" spans="1:14" ht="15">
      <c r="A779" s="2426"/>
      <c r="B779" s="945"/>
      <c r="C779" s="945"/>
      <c r="D779"/>
      <c r="E779"/>
      <c r="F779"/>
      <c r="G779"/>
      <c r="H779"/>
      <c r="I779"/>
      <c r="J779"/>
      <c r="K779"/>
      <c r="L779"/>
      <c r="M779"/>
      <c r="N779"/>
    </row>
    <row r="780" spans="1:14" ht="15">
      <c r="A780" s="2426"/>
      <c r="B780" s="945"/>
      <c r="C780" s="945"/>
      <c r="D780"/>
      <c r="E780"/>
      <c r="F780"/>
      <c r="G780"/>
      <c r="H780"/>
      <c r="I780"/>
      <c r="J780"/>
      <c r="K780"/>
      <c r="L780"/>
      <c r="M780"/>
      <c r="N780"/>
    </row>
    <row r="781" spans="1:14" ht="15">
      <c r="A781" s="945"/>
      <c r="B781" s="945"/>
      <c r="C781" s="945"/>
      <c r="D781"/>
      <c r="E781"/>
      <c r="F781"/>
      <c r="G781"/>
      <c r="H781"/>
      <c r="I781"/>
      <c r="J781"/>
      <c r="K781"/>
      <c r="L781"/>
      <c r="M781"/>
      <c r="N781"/>
    </row>
    <row r="782" spans="1:14">
      <c r="A782" s="949"/>
      <c r="B782" s="2427"/>
      <c r="C782" s="2427"/>
      <c r="D782" s="2427"/>
      <c r="E782" s="2427"/>
      <c r="F782" s="2427"/>
      <c r="G782" s="2427"/>
      <c r="H782" s="2427"/>
      <c r="I782" s="2427"/>
      <c r="J782" s="2427"/>
      <c r="K782" s="2427"/>
      <c r="L782" s="2427"/>
      <c r="M782" s="2427"/>
      <c r="N782" s="2427"/>
    </row>
    <row r="783" spans="1:14">
      <c r="A783" s="2426"/>
      <c r="B783" s="952"/>
      <c r="C783" s="952"/>
    </row>
    <row r="784" spans="1:14" ht="15">
      <c r="A784" s="2426"/>
      <c r="B784" s="941"/>
      <c r="C784" s="941"/>
      <c r="E784"/>
      <c r="F784"/>
      <c r="G784"/>
      <c r="H784"/>
      <c r="I784"/>
      <c r="J784"/>
      <c r="K784"/>
      <c r="L784"/>
      <c r="M784"/>
      <c r="N784" s="943"/>
    </row>
    <row r="785" spans="1:14" ht="15">
      <c r="A785" s="2426"/>
      <c r="B785" s="941"/>
      <c r="C785" s="941"/>
      <c r="D785"/>
      <c r="E785"/>
      <c r="F785"/>
      <c r="G785"/>
      <c r="H785"/>
      <c r="I785"/>
      <c r="J785"/>
      <c r="K785"/>
      <c r="L785"/>
      <c r="M785"/>
      <c r="N785" s="943"/>
    </row>
    <row r="786" spans="1:14" ht="15">
      <c r="A786" s="2426"/>
      <c r="B786" s="941"/>
      <c r="C786" s="941"/>
      <c r="D786"/>
      <c r="E786"/>
      <c r="F786"/>
      <c r="G786"/>
      <c r="H786"/>
      <c r="I786"/>
      <c r="J786"/>
      <c r="K786"/>
      <c r="L786"/>
      <c r="M786"/>
      <c r="N786" s="943"/>
    </row>
    <row r="787" spans="1:14" ht="15">
      <c r="A787" s="2426"/>
      <c r="B787" s="941"/>
      <c r="C787" s="941"/>
      <c r="D787"/>
      <c r="E787"/>
      <c r="F787"/>
      <c r="G787"/>
      <c r="H787"/>
      <c r="I787"/>
      <c r="J787"/>
      <c r="K787"/>
      <c r="L787"/>
      <c r="M787"/>
      <c r="N787" s="943"/>
    </row>
    <row r="788" spans="1:14" ht="15">
      <c r="A788" s="2426"/>
      <c r="B788" s="945"/>
      <c r="C788" s="945"/>
      <c r="D788"/>
      <c r="E788"/>
      <c r="F788"/>
      <c r="G788"/>
      <c r="H788"/>
      <c r="I788"/>
      <c r="J788"/>
      <c r="K788"/>
      <c r="L788"/>
      <c r="M788"/>
      <c r="N788" s="943"/>
    </row>
    <row r="789" spans="1:14" ht="15">
      <c r="A789" s="2426"/>
      <c r="B789" s="945"/>
      <c r="C789" s="945"/>
      <c r="D789"/>
      <c r="E789"/>
      <c r="F789"/>
      <c r="G789"/>
      <c r="H789"/>
      <c r="I789"/>
      <c r="J789"/>
      <c r="K789"/>
      <c r="L789"/>
      <c r="M789"/>
      <c r="N789" s="943"/>
    </row>
    <row r="790" spans="1:14" ht="15">
      <c r="A790" s="2426"/>
      <c r="B790" s="945"/>
      <c r="C790" s="945"/>
      <c r="D790"/>
      <c r="E790"/>
      <c r="F790"/>
      <c r="G790"/>
      <c r="H790"/>
      <c r="I790"/>
      <c r="J790"/>
      <c r="K790"/>
      <c r="L790"/>
      <c r="M790"/>
      <c r="N790"/>
    </row>
    <row r="791" spans="1:14" ht="15">
      <c r="A791" s="2426"/>
      <c r="B791" s="945"/>
      <c r="C791" s="945"/>
      <c r="D791"/>
      <c r="E791"/>
      <c r="F791"/>
      <c r="G791"/>
      <c r="H791"/>
      <c r="I791"/>
      <c r="J791"/>
      <c r="K791"/>
      <c r="L791"/>
      <c r="M791"/>
      <c r="N791"/>
    </row>
    <row r="792" spans="1:14" ht="15">
      <c r="A792" s="945"/>
      <c r="B792" s="945"/>
      <c r="C792" s="945"/>
      <c r="D792"/>
      <c r="E792"/>
      <c r="F792"/>
      <c r="G792"/>
      <c r="H792"/>
      <c r="I792"/>
      <c r="J792"/>
      <c r="K792"/>
      <c r="L792"/>
      <c r="M792"/>
      <c r="N792"/>
    </row>
    <row r="793" spans="1:14">
      <c r="A793" s="949"/>
      <c r="B793" s="2427"/>
      <c r="C793" s="2427"/>
      <c r="D793" s="2427"/>
      <c r="E793" s="2427"/>
      <c r="F793" s="2427"/>
      <c r="G793" s="2427"/>
      <c r="H793" s="2427"/>
      <c r="I793" s="2427"/>
      <c r="J793" s="2427"/>
      <c r="K793" s="2427"/>
      <c r="L793" s="2427"/>
      <c r="M793" s="2427"/>
      <c r="N793" s="2427"/>
    </row>
    <row r="794" spans="1:14">
      <c r="A794" s="2426"/>
      <c r="B794" s="952"/>
      <c r="C794" s="952"/>
    </row>
    <row r="795" spans="1:14" ht="15">
      <c r="A795" s="2426"/>
      <c r="B795" s="941"/>
      <c r="C795" s="941"/>
      <c r="E795"/>
      <c r="F795"/>
      <c r="G795"/>
      <c r="H795"/>
      <c r="I795"/>
      <c r="J795"/>
      <c r="K795"/>
      <c r="L795"/>
      <c r="M795"/>
      <c r="N795" s="943"/>
    </row>
    <row r="796" spans="1:14" ht="15">
      <c r="A796" s="2426"/>
      <c r="B796" s="941"/>
      <c r="C796" s="941"/>
      <c r="D796"/>
      <c r="E796"/>
      <c r="F796"/>
      <c r="G796"/>
      <c r="H796"/>
      <c r="I796"/>
      <c r="J796"/>
      <c r="K796"/>
      <c r="L796"/>
      <c r="M796"/>
      <c r="N796" s="943"/>
    </row>
    <row r="797" spans="1:14" ht="15">
      <c r="A797" s="2426"/>
      <c r="B797" s="941"/>
      <c r="C797" s="941"/>
      <c r="D797"/>
      <c r="E797"/>
      <c r="F797"/>
      <c r="G797"/>
      <c r="H797"/>
      <c r="I797"/>
      <c r="J797"/>
      <c r="K797"/>
      <c r="L797"/>
      <c r="M797"/>
      <c r="N797" s="943"/>
    </row>
    <row r="798" spans="1:14" ht="15">
      <c r="A798" s="2426"/>
      <c r="B798" s="941"/>
      <c r="C798" s="941"/>
      <c r="D798"/>
      <c r="E798"/>
      <c r="F798"/>
      <c r="G798"/>
      <c r="H798"/>
      <c r="I798"/>
      <c r="J798"/>
      <c r="K798"/>
      <c r="L798"/>
      <c r="M798"/>
      <c r="N798" s="943"/>
    </row>
    <row r="799" spans="1:14" ht="15">
      <c r="A799" s="2426"/>
      <c r="B799" s="945"/>
      <c r="C799" s="945"/>
      <c r="D799"/>
      <c r="E799"/>
      <c r="F799"/>
      <c r="G799"/>
      <c r="H799"/>
      <c r="I799"/>
      <c r="J799"/>
      <c r="K799"/>
      <c r="L799"/>
      <c r="M799"/>
      <c r="N799" s="943"/>
    </row>
    <row r="800" spans="1:14" ht="15">
      <c r="A800" s="2426"/>
      <c r="B800" s="945"/>
      <c r="C800" s="945"/>
      <c r="D800"/>
      <c r="E800"/>
      <c r="F800"/>
      <c r="G800"/>
      <c r="H800"/>
      <c r="I800"/>
      <c r="J800"/>
      <c r="K800"/>
      <c r="L800"/>
      <c r="M800"/>
      <c r="N800" s="943"/>
    </row>
    <row r="801" spans="1:14" ht="15">
      <c r="A801" s="2426"/>
      <c r="B801" s="945"/>
      <c r="C801" s="945"/>
      <c r="D801"/>
      <c r="E801"/>
      <c r="F801"/>
      <c r="G801"/>
      <c r="H801"/>
      <c r="I801"/>
      <c r="J801"/>
      <c r="K801"/>
      <c r="L801"/>
      <c r="M801"/>
      <c r="N801"/>
    </row>
    <row r="802" spans="1:14" ht="15">
      <c r="A802" s="2426"/>
      <c r="B802" s="945"/>
      <c r="C802" s="945"/>
      <c r="D802"/>
      <c r="E802"/>
      <c r="F802"/>
      <c r="G802"/>
      <c r="H802"/>
      <c r="I802"/>
      <c r="J802"/>
      <c r="K802"/>
      <c r="L802"/>
      <c r="M802"/>
      <c r="N802"/>
    </row>
    <row r="803" spans="1:14" ht="15">
      <c r="A803" s="945"/>
      <c r="B803" s="945"/>
      <c r="C803" s="945"/>
      <c r="D803"/>
      <c r="E803"/>
      <c r="F803"/>
      <c r="G803"/>
      <c r="H803"/>
      <c r="I803"/>
      <c r="J803"/>
      <c r="K803"/>
      <c r="L803"/>
      <c r="M803"/>
      <c r="N803"/>
    </row>
    <row r="804" spans="1:14">
      <c r="A804" s="949"/>
      <c r="B804" s="2427"/>
      <c r="C804" s="2427"/>
      <c r="D804" s="2427"/>
      <c r="E804" s="2427"/>
      <c r="F804" s="2427"/>
      <c r="G804" s="2427"/>
      <c r="H804" s="2427"/>
      <c r="I804" s="2427"/>
      <c r="J804" s="2427"/>
      <c r="K804" s="2427"/>
      <c r="L804" s="2427"/>
      <c r="M804" s="2427"/>
      <c r="N804" s="2427"/>
    </row>
    <row r="805" spans="1:14">
      <c r="A805" s="2426"/>
      <c r="B805" s="952"/>
      <c r="C805" s="952"/>
    </row>
    <row r="806" spans="1:14" ht="15">
      <c r="A806" s="2426"/>
      <c r="B806" s="941"/>
      <c r="C806" s="941"/>
      <c r="E806"/>
      <c r="F806"/>
      <c r="G806"/>
      <c r="H806"/>
      <c r="I806"/>
      <c r="J806"/>
      <c r="K806"/>
      <c r="L806"/>
      <c r="M806"/>
      <c r="N806" s="943"/>
    </row>
    <row r="807" spans="1:14" ht="15">
      <c r="A807" s="2426"/>
      <c r="B807" s="941"/>
      <c r="C807" s="941"/>
      <c r="D807"/>
      <c r="E807"/>
      <c r="F807"/>
      <c r="G807"/>
      <c r="H807"/>
      <c r="I807"/>
      <c r="J807"/>
      <c r="K807"/>
      <c r="L807"/>
      <c r="M807"/>
      <c r="N807" s="943"/>
    </row>
    <row r="808" spans="1:14" ht="15">
      <c r="A808" s="2426"/>
      <c r="B808" s="941"/>
      <c r="C808" s="941"/>
      <c r="D808"/>
      <c r="E808"/>
      <c r="F808"/>
      <c r="G808"/>
      <c r="H808"/>
      <c r="I808"/>
      <c r="J808"/>
      <c r="K808"/>
      <c r="L808"/>
      <c r="M808"/>
      <c r="N808" s="943"/>
    </row>
    <row r="809" spans="1:14" ht="15">
      <c r="A809" s="2426"/>
      <c r="B809" s="941"/>
      <c r="C809" s="941"/>
      <c r="D809"/>
      <c r="E809"/>
      <c r="F809"/>
      <c r="G809"/>
      <c r="H809"/>
      <c r="I809"/>
      <c r="J809"/>
      <c r="K809"/>
      <c r="L809"/>
      <c r="M809"/>
      <c r="N809" s="943"/>
    </row>
    <row r="810" spans="1:14" ht="15">
      <c r="A810" s="2426"/>
      <c r="B810" s="945"/>
      <c r="C810" s="945"/>
      <c r="D810"/>
      <c r="E810"/>
      <c r="F810"/>
      <c r="G810"/>
      <c r="H810"/>
      <c r="I810"/>
      <c r="J810"/>
      <c r="K810"/>
      <c r="L810"/>
      <c r="M810"/>
      <c r="N810" s="943"/>
    </row>
    <row r="811" spans="1:14" ht="15">
      <c r="A811" s="2426"/>
      <c r="B811" s="945"/>
      <c r="C811" s="945"/>
      <c r="D811"/>
      <c r="E811"/>
      <c r="F811"/>
      <c r="G811"/>
      <c r="H811"/>
      <c r="I811"/>
      <c r="J811"/>
      <c r="K811"/>
      <c r="L811"/>
      <c r="M811"/>
      <c r="N811" s="943"/>
    </row>
    <row r="812" spans="1:14" ht="15">
      <c r="A812" s="2426"/>
      <c r="B812" s="945"/>
      <c r="C812" s="945"/>
      <c r="D812"/>
      <c r="E812"/>
      <c r="F812"/>
      <c r="G812"/>
      <c r="H812"/>
      <c r="I812"/>
      <c r="J812"/>
      <c r="K812"/>
      <c r="L812"/>
      <c r="M812"/>
      <c r="N812"/>
    </row>
    <row r="813" spans="1:14" ht="15">
      <c r="A813" s="2426"/>
      <c r="B813" s="945"/>
      <c r="C813" s="945"/>
      <c r="D813"/>
      <c r="E813"/>
      <c r="F813"/>
      <c r="G813"/>
      <c r="H813"/>
      <c r="I813"/>
      <c r="J813"/>
      <c r="K813"/>
      <c r="L813"/>
      <c r="M813"/>
      <c r="N813"/>
    </row>
    <row r="814" spans="1:14" ht="15">
      <c r="A814" s="945"/>
      <c r="B814" s="945"/>
      <c r="C814" s="945"/>
      <c r="D814"/>
      <c r="E814"/>
      <c r="F814"/>
      <c r="G814"/>
      <c r="H814"/>
      <c r="I814"/>
      <c r="J814"/>
      <c r="K814"/>
      <c r="L814"/>
      <c r="M814"/>
      <c r="N814"/>
    </row>
    <row r="815" spans="1:14">
      <c r="A815" s="949"/>
      <c r="B815" s="2427"/>
      <c r="C815" s="2427"/>
      <c r="D815" s="2427"/>
      <c r="E815" s="2427"/>
      <c r="F815" s="2427"/>
      <c r="G815" s="2427"/>
      <c r="H815" s="2427"/>
      <c r="I815" s="2427"/>
      <c r="J815" s="2427"/>
      <c r="K815" s="2427"/>
      <c r="L815" s="2427"/>
      <c r="M815" s="2427"/>
      <c r="N815" s="2427"/>
    </row>
    <row r="816" spans="1:14">
      <c r="A816" s="2426"/>
      <c r="B816" s="952"/>
      <c r="C816" s="952"/>
    </row>
    <row r="817" spans="1:14" ht="15">
      <c r="A817" s="2426"/>
      <c r="B817" s="941"/>
      <c r="C817" s="941"/>
      <c r="E817"/>
      <c r="F817"/>
      <c r="G817"/>
      <c r="H817"/>
      <c r="I817"/>
      <c r="J817"/>
      <c r="K817"/>
      <c r="L817"/>
      <c r="M817"/>
      <c r="N817" s="943"/>
    </row>
    <row r="818" spans="1:14" ht="15">
      <c r="A818" s="2426"/>
      <c r="B818" s="941"/>
      <c r="C818" s="941"/>
      <c r="D818"/>
      <c r="E818"/>
      <c r="F818"/>
      <c r="G818"/>
      <c r="H818"/>
      <c r="I818"/>
      <c r="J818"/>
      <c r="K818"/>
      <c r="L818"/>
      <c r="M818"/>
      <c r="N818" s="943"/>
    </row>
    <row r="819" spans="1:14" ht="15">
      <c r="A819" s="2426"/>
      <c r="B819" s="941"/>
      <c r="C819" s="941"/>
      <c r="D819"/>
      <c r="E819"/>
      <c r="F819"/>
      <c r="G819"/>
      <c r="H819"/>
      <c r="I819"/>
      <c r="J819"/>
      <c r="K819"/>
      <c r="L819"/>
      <c r="M819"/>
      <c r="N819" s="943"/>
    </row>
    <row r="820" spans="1:14" ht="15">
      <c r="A820" s="2426"/>
      <c r="B820" s="941"/>
      <c r="C820" s="941"/>
      <c r="D820"/>
      <c r="E820"/>
      <c r="F820"/>
      <c r="G820"/>
      <c r="H820"/>
      <c r="I820"/>
      <c r="J820"/>
      <c r="K820"/>
      <c r="L820"/>
      <c r="M820"/>
      <c r="N820" s="943"/>
    </row>
    <row r="821" spans="1:14" ht="15">
      <c r="A821" s="2426"/>
      <c r="B821" s="945"/>
      <c r="C821" s="945"/>
      <c r="D821"/>
      <c r="E821"/>
      <c r="F821"/>
      <c r="G821"/>
      <c r="H821"/>
      <c r="I821"/>
      <c r="J821"/>
      <c r="K821"/>
      <c r="L821"/>
      <c r="M821"/>
      <c r="N821" s="943"/>
    </row>
    <row r="822" spans="1:14" ht="15">
      <c r="A822" s="2426"/>
      <c r="B822" s="945"/>
      <c r="C822" s="945"/>
      <c r="D822"/>
      <c r="E822"/>
      <c r="F822"/>
      <c r="G822"/>
      <c r="H822"/>
      <c r="I822"/>
      <c r="J822"/>
      <c r="K822"/>
      <c r="L822"/>
      <c r="M822"/>
      <c r="N822" s="943"/>
    </row>
    <row r="823" spans="1:14" ht="15">
      <c r="A823" s="2426"/>
      <c r="B823" s="945"/>
      <c r="C823" s="945"/>
      <c r="D823"/>
      <c r="E823"/>
      <c r="F823"/>
      <c r="G823"/>
      <c r="H823"/>
      <c r="I823"/>
      <c r="J823"/>
      <c r="K823"/>
      <c r="L823"/>
      <c r="M823"/>
      <c r="N823"/>
    </row>
    <row r="824" spans="1:14" ht="15">
      <c r="A824" s="2426"/>
      <c r="B824" s="945"/>
      <c r="C824" s="945"/>
      <c r="D824"/>
      <c r="E824"/>
      <c r="F824"/>
      <c r="G824"/>
      <c r="H824"/>
      <c r="I824"/>
      <c r="J824"/>
      <c r="K824"/>
      <c r="L824"/>
      <c r="M824"/>
      <c r="N824"/>
    </row>
    <row r="825" spans="1:14" ht="15">
      <c r="A825" s="945"/>
      <c r="B825" s="945"/>
      <c r="C825" s="945"/>
      <c r="D825"/>
      <c r="E825"/>
      <c r="F825"/>
      <c r="G825"/>
      <c r="H825"/>
      <c r="I825"/>
      <c r="J825"/>
      <c r="K825"/>
      <c r="L825"/>
      <c r="M825"/>
      <c r="N825"/>
    </row>
    <row r="826" spans="1:14">
      <c r="A826" s="949"/>
      <c r="B826" s="2427"/>
      <c r="C826" s="2427"/>
      <c r="D826" s="2427"/>
      <c r="E826" s="2427"/>
      <c r="F826" s="2427"/>
      <c r="G826" s="2427"/>
      <c r="H826" s="2427"/>
      <c r="I826" s="2427"/>
      <c r="J826" s="2427"/>
      <c r="K826" s="2427"/>
      <c r="L826" s="2427"/>
      <c r="M826" s="2427"/>
      <c r="N826" s="2427"/>
    </row>
    <row r="827" spans="1:14">
      <c r="A827" s="2426"/>
      <c r="B827" s="952"/>
      <c r="C827" s="952"/>
    </row>
    <row r="828" spans="1:14" ht="15">
      <c r="A828" s="2426"/>
      <c r="B828" s="941"/>
      <c r="C828" s="941"/>
      <c r="E828"/>
      <c r="F828"/>
      <c r="G828"/>
      <c r="H828"/>
      <c r="I828"/>
      <c r="J828"/>
      <c r="K828"/>
      <c r="L828"/>
      <c r="M828"/>
      <c r="N828" s="943"/>
    </row>
    <row r="829" spans="1:14" ht="15">
      <c r="A829" s="2426"/>
      <c r="B829" s="941"/>
      <c r="C829" s="941"/>
      <c r="D829"/>
      <c r="E829"/>
      <c r="F829"/>
      <c r="G829"/>
      <c r="H829"/>
      <c r="I829"/>
      <c r="J829"/>
      <c r="K829"/>
      <c r="L829"/>
      <c r="M829"/>
      <c r="N829" s="943"/>
    </row>
    <row r="830" spans="1:14" ht="15">
      <c r="A830" s="2426"/>
      <c r="B830" s="941"/>
      <c r="C830" s="941"/>
      <c r="D830"/>
      <c r="E830"/>
      <c r="F830"/>
      <c r="G830"/>
      <c r="H830"/>
      <c r="I830"/>
      <c r="J830"/>
      <c r="K830"/>
      <c r="L830"/>
      <c r="M830"/>
      <c r="N830" s="943"/>
    </row>
    <row r="831" spans="1:14" ht="15">
      <c r="A831" s="2426"/>
      <c r="B831" s="941"/>
      <c r="C831" s="941"/>
      <c r="D831"/>
      <c r="E831"/>
      <c r="F831"/>
      <c r="G831"/>
      <c r="H831"/>
      <c r="I831"/>
      <c r="J831"/>
      <c r="K831"/>
      <c r="L831"/>
      <c r="M831"/>
      <c r="N831" s="943"/>
    </row>
    <row r="832" spans="1:14" ht="15">
      <c r="A832" s="2426"/>
      <c r="B832" s="945"/>
      <c r="C832" s="945"/>
      <c r="D832"/>
      <c r="E832"/>
      <c r="F832"/>
      <c r="G832"/>
      <c r="H832"/>
      <c r="I832"/>
      <c r="J832"/>
      <c r="K832"/>
      <c r="L832"/>
      <c r="M832"/>
      <c r="N832" s="943"/>
    </row>
    <row r="833" spans="1:14" ht="15">
      <c r="A833" s="2426"/>
      <c r="B833" s="945"/>
      <c r="C833" s="945"/>
      <c r="D833"/>
      <c r="E833"/>
      <c r="F833"/>
      <c r="G833"/>
      <c r="H833"/>
      <c r="I833"/>
      <c r="J833"/>
      <c r="K833"/>
      <c r="L833"/>
      <c r="M833"/>
      <c r="N833" s="943"/>
    </row>
    <row r="834" spans="1:14" ht="15">
      <c r="A834" s="2426"/>
      <c r="B834" s="945"/>
      <c r="C834" s="945"/>
      <c r="D834"/>
      <c r="E834"/>
      <c r="F834"/>
      <c r="G834"/>
      <c r="H834"/>
      <c r="I834"/>
      <c r="J834"/>
      <c r="K834"/>
      <c r="L834"/>
      <c r="M834"/>
      <c r="N834"/>
    </row>
    <row r="835" spans="1:14" ht="15">
      <c r="A835" s="2426"/>
      <c r="B835" s="945"/>
      <c r="C835" s="945"/>
      <c r="D835"/>
      <c r="E835"/>
      <c r="F835"/>
      <c r="G835"/>
      <c r="H835"/>
      <c r="I835"/>
      <c r="J835"/>
      <c r="K835"/>
      <c r="L835"/>
      <c r="M835"/>
      <c r="N835"/>
    </row>
    <row r="836" spans="1:14" ht="15">
      <c r="A836" s="945"/>
      <c r="B836" s="945"/>
      <c r="C836" s="945"/>
      <c r="D836"/>
      <c r="E836"/>
      <c r="F836"/>
      <c r="G836"/>
      <c r="H836"/>
      <c r="I836"/>
      <c r="J836"/>
      <c r="K836"/>
      <c r="L836"/>
      <c r="M836"/>
      <c r="N836"/>
    </row>
  </sheetData>
  <mergeCells count="268">
    <mergeCell ref="I236:N236"/>
    <mergeCell ref="A238:A246"/>
    <mergeCell ref="B246:G246"/>
    <mergeCell ref="B237:C237"/>
    <mergeCell ref="D237:N237"/>
    <mergeCell ref="I246:N246"/>
    <mergeCell ref="D247:N247"/>
    <mergeCell ref="A248:A256"/>
    <mergeCell ref="B266:G266"/>
    <mergeCell ref="B256:G256"/>
    <mergeCell ref="I256:N256"/>
    <mergeCell ref="A816:A824"/>
    <mergeCell ref="B107:C107"/>
    <mergeCell ref="D107:N107"/>
    <mergeCell ref="A108:A116"/>
    <mergeCell ref="B116:G116"/>
    <mergeCell ref="I116:N116"/>
    <mergeCell ref="B117:C117"/>
    <mergeCell ref="D117:N117"/>
    <mergeCell ref="A118:A126"/>
    <mergeCell ref="B126:G126"/>
    <mergeCell ref="I126:N126"/>
    <mergeCell ref="B127:C127"/>
    <mergeCell ref="D127:N127"/>
    <mergeCell ref="A128:A136"/>
    <mergeCell ref="B136:G136"/>
    <mergeCell ref="I136:N136"/>
    <mergeCell ref="B277:C277"/>
    <mergeCell ref="D277:N277"/>
    <mergeCell ref="A278:A286"/>
    <mergeCell ref="B286:G286"/>
    <mergeCell ref="I286:N286"/>
    <mergeCell ref="B207:C207"/>
    <mergeCell ref="B227:C227"/>
    <mergeCell ref="D177:N177"/>
    <mergeCell ref="A706:A714"/>
    <mergeCell ref="B716:C716"/>
    <mergeCell ref="D716:N716"/>
    <mergeCell ref="A717:A725"/>
    <mergeCell ref="B727:C727"/>
    <mergeCell ref="D727:N727"/>
    <mergeCell ref="A728:A736"/>
    <mergeCell ref="B760:C760"/>
    <mergeCell ref="D760:N760"/>
    <mergeCell ref="B650:C650"/>
    <mergeCell ref="D650:N650"/>
    <mergeCell ref="A651:A659"/>
    <mergeCell ref="B661:C661"/>
    <mergeCell ref="D661:N661"/>
    <mergeCell ref="A662:A670"/>
    <mergeCell ref="B672:C672"/>
    <mergeCell ref="D672:N672"/>
    <mergeCell ref="B705:C705"/>
    <mergeCell ref="D705:N705"/>
    <mergeCell ref="A673:A681"/>
    <mergeCell ref="B683:C683"/>
    <mergeCell ref="D683:N683"/>
    <mergeCell ref="A684:A692"/>
    <mergeCell ref="B694:C694"/>
    <mergeCell ref="D694:N694"/>
    <mergeCell ref="A695:A703"/>
    <mergeCell ref="A338:A346"/>
    <mergeCell ref="A358:A366"/>
    <mergeCell ref="B366:G366"/>
    <mergeCell ref="I366:N366"/>
    <mergeCell ref="B346:G346"/>
    <mergeCell ref="I346:N346"/>
    <mergeCell ref="B357:C357"/>
    <mergeCell ref="D357:N357"/>
    <mergeCell ref="B307:C307"/>
    <mergeCell ref="D327:N327"/>
    <mergeCell ref="B347:C347"/>
    <mergeCell ref="D347:N347"/>
    <mergeCell ref="A348:A356"/>
    <mergeCell ref="B356:G356"/>
    <mergeCell ref="I356:N356"/>
    <mergeCell ref="A328:A336"/>
    <mergeCell ref="B336:G336"/>
    <mergeCell ref="I336:N336"/>
    <mergeCell ref="A308:A316"/>
    <mergeCell ref="B316:G316"/>
    <mergeCell ref="B826:C826"/>
    <mergeCell ref="D826:N826"/>
    <mergeCell ref="A827:A835"/>
    <mergeCell ref="B738:C738"/>
    <mergeCell ref="D738:N738"/>
    <mergeCell ref="A739:A747"/>
    <mergeCell ref="B749:C749"/>
    <mergeCell ref="D749:N749"/>
    <mergeCell ref="A750:A758"/>
    <mergeCell ref="A761:A769"/>
    <mergeCell ref="B771:C771"/>
    <mergeCell ref="D771:N771"/>
    <mergeCell ref="A772:A780"/>
    <mergeCell ref="B782:C782"/>
    <mergeCell ref="D782:N782"/>
    <mergeCell ref="A783:A791"/>
    <mergeCell ref="B793:C793"/>
    <mergeCell ref="D793:N793"/>
    <mergeCell ref="A794:A802"/>
    <mergeCell ref="B804:C804"/>
    <mergeCell ref="D804:N804"/>
    <mergeCell ref="A805:A813"/>
    <mergeCell ref="B815:C815"/>
    <mergeCell ref="D815:N815"/>
    <mergeCell ref="A368:A376"/>
    <mergeCell ref="B376:G376"/>
    <mergeCell ref="I376:N376"/>
    <mergeCell ref="A378:A386"/>
    <mergeCell ref="B386:G386"/>
    <mergeCell ref="I386:N386"/>
    <mergeCell ref="B377:C377"/>
    <mergeCell ref="D377:N377"/>
    <mergeCell ref="B617:C617"/>
    <mergeCell ref="D617:N617"/>
    <mergeCell ref="A618:A626"/>
    <mergeCell ref="B628:C628"/>
    <mergeCell ref="D628:N628"/>
    <mergeCell ref="A629:A637"/>
    <mergeCell ref="B639:C639"/>
    <mergeCell ref="D639:N639"/>
    <mergeCell ref="A640:A648"/>
    <mergeCell ref="B187:C187"/>
    <mergeCell ref="D187:N187"/>
    <mergeCell ref="A188:A196"/>
    <mergeCell ref="I316:N316"/>
    <mergeCell ref="B317:C317"/>
    <mergeCell ref="D317:N317"/>
    <mergeCell ref="A318:A326"/>
    <mergeCell ref="B326:G326"/>
    <mergeCell ref="I326:N326"/>
    <mergeCell ref="B327:C327"/>
    <mergeCell ref="B217:C217"/>
    <mergeCell ref="D217:N217"/>
    <mergeCell ref="A218:A226"/>
    <mergeCell ref="B226:G226"/>
    <mergeCell ref="I226:N226"/>
    <mergeCell ref="B196:G196"/>
    <mergeCell ref="I196:N196"/>
    <mergeCell ref="A68:A76"/>
    <mergeCell ref="B367:C367"/>
    <mergeCell ref="D367:N367"/>
    <mergeCell ref="B337:C337"/>
    <mergeCell ref="D337:N337"/>
    <mergeCell ref="B297:C297"/>
    <mergeCell ref="D297:N297"/>
    <mergeCell ref="A298:A306"/>
    <mergeCell ref="B306:G306"/>
    <mergeCell ref="I306:N306"/>
    <mergeCell ref="A78:A86"/>
    <mergeCell ref="B86:G86"/>
    <mergeCell ref="I86:N86"/>
    <mergeCell ref="A88:A96"/>
    <mergeCell ref="B167:C167"/>
    <mergeCell ref="D167:N167"/>
    <mergeCell ref="A168:A176"/>
    <mergeCell ref="D307:N307"/>
    <mergeCell ref="B247:C247"/>
    <mergeCell ref="B287:C287"/>
    <mergeCell ref="D287:N287"/>
    <mergeCell ref="D97:N97"/>
    <mergeCell ref="B106:G106"/>
    <mergeCell ref="I106:N106"/>
    <mergeCell ref="D47:N47"/>
    <mergeCell ref="B97:C97"/>
    <mergeCell ref="B56:G56"/>
    <mergeCell ref="B96:G96"/>
    <mergeCell ref="I96:N96"/>
    <mergeCell ref="B76:G76"/>
    <mergeCell ref="I76:N76"/>
    <mergeCell ref="B87:C87"/>
    <mergeCell ref="D87:N87"/>
    <mergeCell ref="B77:C77"/>
    <mergeCell ref="D77:N77"/>
    <mergeCell ref="B67:C67"/>
    <mergeCell ref="D67:N67"/>
    <mergeCell ref="B17:C17"/>
    <mergeCell ref="D17:N17"/>
    <mergeCell ref="A98:A106"/>
    <mergeCell ref="A18:A26"/>
    <mergeCell ref="B26:G26"/>
    <mergeCell ref="I26:N26"/>
    <mergeCell ref="I56:N56"/>
    <mergeCell ref="B57:C57"/>
    <mergeCell ref="D57:N57"/>
    <mergeCell ref="A58:A66"/>
    <mergeCell ref="B66:G66"/>
    <mergeCell ref="I66:N66"/>
    <mergeCell ref="A28:A36"/>
    <mergeCell ref="A38:A46"/>
    <mergeCell ref="A48:A56"/>
    <mergeCell ref="B27:C27"/>
    <mergeCell ref="D27:N27"/>
    <mergeCell ref="B36:G36"/>
    <mergeCell ref="I36:N36"/>
    <mergeCell ref="B37:C37"/>
    <mergeCell ref="D37:N37"/>
    <mergeCell ref="B46:G46"/>
    <mergeCell ref="I46:N46"/>
    <mergeCell ref="B47:C47"/>
    <mergeCell ref="A1:D3"/>
    <mergeCell ref="L1:N3"/>
    <mergeCell ref="A4:D4"/>
    <mergeCell ref="J4:N4"/>
    <mergeCell ref="A6:N7"/>
    <mergeCell ref="A9:N10"/>
    <mergeCell ref="A12:D12"/>
    <mergeCell ref="E12:G12"/>
    <mergeCell ref="I12:J12"/>
    <mergeCell ref="K12:N12"/>
    <mergeCell ref="B137:C137"/>
    <mergeCell ref="B157:C157"/>
    <mergeCell ref="D157:N157"/>
    <mergeCell ref="A158:A166"/>
    <mergeCell ref="B166:G166"/>
    <mergeCell ref="I166:N166"/>
    <mergeCell ref="A13:D13"/>
    <mergeCell ref="E13:G13"/>
    <mergeCell ref="I13:J13"/>
    <mergeCell ref="K13:N13"/>
    <mergeCell ref="A15:B15"/>
    <mergeCell ref="C15:D15"/>
    <mergeCell ref="E15:G15"/>
    <mergeCell ref="D137:N137"/>
    <mergeCell ref="A138:A146"/>
    <mergeCell ref="B146:G146"/>
    <mergeCell ref="I146:N146"/>
    <mergeCell ref="K15:L15"/>
    <mergeCell ref="M15:N15"/>
    <mergeCell ref="A16:B16"/>
    <mergeCell ref="C16:D16"/>
    <mergeCell ref="E16:G16"/>
    <mergeCell ref="K16:L16"/>
    <mergeCell ref="M16:N16"/>
    <mergeCell ref="A178:A186"/>
    <mergeCell ref="B186:G186"/>
    <mergeCell ref="I186:N186"/>
    <mergeCell ref="B176:G176"/>
    <mergeCell ref="I176:N176"/>
    <mergeCell ref="B147:C147"/>
    <mergeCell ref="D147:N147"/>
    <mergeCell ref="A148:A156"/>
    <mergeCell ref="B156:G156"/>
    <mergeCell ref="I156:N156"/>
    <mergeCell ref="B197:C197"/>
    <mergeCell ref="D197:N197"/>
    <mergeCell ref="A198:A206"/>
    <mergeCell ref="B206:G206"/>
    <mergeCell ref="I206:N206"/>
    <mergeCell ref="A288:A296"/>
    <mergeCell ref="B296:G296"/>
    <mergeCell ref="I296:N296"/>
    <mergeCell ref="D207:N207"/>
    <mergeCell ref="A208:A216"/>
    <mergeCell ref="I276:N276"/>
    <mergeCell ref="B276:G276"/>
    <mergeCell ref="B257:C257"/>
    <mergeCell ref="D257:N257"/>
    <mergeCell ref="A258:A266"/>
    <mergeCell ref="I266:N266"/>
    <mergeCell ref="B267:C267"/>
    <mergeCell ref="D267:N267"/>
    <mergeCell ref="A268:A276"/>
    <mergeCell ref="B216:G216"/>
    <mergeCell ref="I216:N216"/>
    <mergeCell ref="D227:N227"/>
    <mergeCell ref="A228:A236"/>
    <mergeCell ref="B236:G236"/>
  </mergeCells>
  <phoneticPr fontId="87" type="noConversion"/>
  <printOptions horizontalCentered="1"/>
  <pageMargins left="0.51181102362204722" right="0.51181102362204722" top="0.59055118110236227" bottom="0.59055118110236227" header="0.31496062992125984" footer="0.11811023622047245"/>
  <pageSetup paperSize="9" scale="80" orientation="portrait" r:id="rId1"/>
  <rowBreaks count="7" manualBreakCount="7">
    <brk id="56" max="13" man="1"/>
    <brk id="116" max="13" man="1"/>
    <brk id="176" max="13" man="1"/>
    <brk id="236" max="13" man="1"/>
    <brk id="296" max="13" man="1"/>
    <brk id="356" max="13" man="1"/>
    <brk id="386" max="13" man="1"/>
  </rowBreaks>
  <colBreaks count="1" manualBreakCount="1">
    <brk id="14" max="34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002060"/>
  </sheetPr>
  <dimension ref="A1:AJ1325"/>
  <sheetViews>
    <sheetView showGridLines="0" showZeros="0" tabSelected="1" view="pageBreakPreview" topLeftCell="A124" zoomScale="73" zoomScaleNormal="90" zoomScaleSheetLayoutView="73" workbookViewId="0">
      <selection activeCell="AA162" sqref="AA162"/>
    </sheetView>
  </sheetViews>
  <sheetFormatPr defaultColWidth="9.140625" defaultRowHeight="15" outlineLevelRow="1"/>
  <cols>
    <col min="1" max="1" width="8.5703125" style="115" customWidth="1"/>
    <col min="2" max="2" width="15" customWidth="1"/>
    <col min="3" max="3" width="75.28515625" customWidth="1"/>
    <col min="4" max="4" width="5.42578125" customWidth="1"/>
    <col min="5" max="5" width="10.85546875" customWidth="1"/>
    <col min="6" max="6" width="12.28515625" style="116" customWidth="1"/>
    <col min="7" max="7" width="21.7109375" customWidth="1"/>
    <col min="8" max="8" width="16.28515625" customWidth="1"/>
    <col min="9" max="9" width="21.85546875" customWidth="1"/>
    <col min="10" max="10" width="13" hidden="1" customWidth="1"/>
    <col min="11" max="11" width="16.85546875" hidden="1" customWidth="1"/>
    <col min="12" max="12" width="13" hidden="1" customWidth="1"/>
    <col min="13" max="17" width="16.85546875" hidden="1" customWidth="1"/>
    <col min="18" max="18" width="13" hidden="1" customWidth="1"/>
    <col min="19" max="19" width="16.85546875" hidden="1" customWidth="1"/>
    <col min="20" max="20" width="13" hidden="1" customWidth="1"/>
    <col min="21" max="23" width="16.85546875" hidden="1" customWidth="1"/>
    <col min="24" max="24" width="14.7109375" hidden="1" customWidth="1"/>
    <col min="25" max="25" width="4.42578125" hidden="1" customWidth="1"/>
    <col min="26" max="26" width="14.28515625" customWidth="1"/>
    <col min="27" max="27" width="22.42578125" customWidth="1"/>
    <col min="28" max="28" width="17.28515625" customWidth="1"/>
    <col min="29" max="29" width="20.85546875" customWidth="1"/>
    <col min="30" max="30" width="16.7109375" customWidth="1"/>
    <col min="31" max="31" width="23.28515625" customWidth="1"/>
    <col min="32" max="32" width="4" style="114" customWidth="1"/>
    <col min="33" max="33" width="18.85546875" customWidth="1"/>
    <col min="34" max="34" width="16.42578125" customWidth="1"/>
  </cols>
  <sheetData>
    <row r="1" spans="1:34">
      <c r="A1" s="30"/>
      <c r="B1" s="31"/>
      <c r="C1" s="31"/>
      <c r="D1" s="31"/>
      <c r="E1" s="31"/>
      <c r="F1" s="32"/>
      <c r="G1" s="33"/>
      <c r="H1" s="34"/>
      <c r="I1" s="35"/>
      <c r="J1" s="35"/>
      <c r="K1" s="35"/>
      <c r="L1" s="35"/>
      <c r="M1" s="35"/>
      <c r="N1" s="35"/>
      <c r="O1" s="35"/>
      <c r="P1" s="35"/>
      <c r="Q1" s="35"/>
      <c r="R1" s="35"/>
      <c r="S1" s="35"/>
      <c r="T1" s="35"/>
      <c r="U1" s="35"/>
      <c r="V1" s="35"/>
      <c r="W1" s="35"/>
      <c r="X1" s="35"/>
      <c r="Y1" s="35"/>
      <c r="Z1" s="36"/>
      <c r="AA1" s="37"/>
      <c r="AB1" s="37"/>
      <c r="AC1" s="35"/>
      <c r="AD1" s="35"/>
      <c r="AE1" s="35"/>
      <c r="AF1" s="38"/>
    </row>
    <row r="2" spans="1:34">
      <c r="A2" s="2454" t="s">
        <v>0</v>
      </c>
      <c r="B2" s="2454"/>
      <c r="C2" s="2454"/>
      <c r="D2" s="2454"/>
      <c r="E2" s="2454"/>
      <c r="F2" s="2454"/>
      <c r="G2" s="2454"/>
      <c r="H2" s="2454"/>
      <c r="I2" s="2454"/>
      <c r="J2" s="2454"/>
      <c r="K2" s="2454"/>
      <c r="L2" s="2454"/>
      <c r="M2" s="2454"/>
      <c r="N2" s="2454"/>
      <c r="O2" s="2454"/>
      <c r="P2" s="2454"/>
      <c r="Q2" s="2454"/>
      <c r="R2" s="2454"/>
      <c r="S2" s="2454"/>
      <c r="T2" s="2454"/>
      <c r="U2" s="2454"/>
      <c r="V2" s="2454"/>
      <c r="W2" s="2454"/>
      <c r="X2" s="2454"/>
      <c r="Y2" s="2454"/>
      <c r="Z2" s="2454"/>
      <c r="AA2" s="2454"/>
      <c r="AB2" s="2454"/>
      <c r="AC2" s="2454"/>
      <c r="AD2" s="1556"/>
      <c r="AE2" s="1557"/>
      <c r="AF2" s="39"/>
    </row>
    <row r="3" spans="1:34">
      <c r="A3" s="2455"/>
      <c r="B3" s="2455"/>
      <c r="C3" s="2455"/>
      <c r="D3" s="2455"/>
      <c r="E3" s="2455"/>
      <c r="F3" s="2455"/>
      <c r="G3" s="2455"/>
      <c r="H3" s="2455"/>
      <c r="I3" s="2455"/>
      <c r="J3" s="2455"/>
      <c r="K3" s="2455"/>
      <c r="L3" s="2455"/>
      <c r="M3" s="2455"/>
      <c r="N3" s="2455"/>
      <c r="O3" s="2455"/>
      <c r="P3" s="2455"/>
      <c r="Q3" s="2455"/>
      <c r="R3" s="2455"/>
      <c r="S3" s="2455"/>
      <c r="T3" s="2455"/>
      <c r="U3" s="2455"/>
      <c r="V3" s="2455"/>
      <c r="W3" s="2455"/>
      <c r="X3" s="2455"/>
      <c r="Y3" s="2455"/>
      <c r="Z3" s="2455"/>
      <c r="AA3" s="2455"/>
      <c r="AB3" s="2455"/>
      <c r="AC3" s="2455"/>
      <c r="AD3" s="2004"/>
      <c r="AE3" s="2010"/>
      <c r="AF3" s="39"/>
    </row>
    <row r="4" spans="1:34">
      <c r="A4" s="2455"/>
      <c r="B4" s="2455"/>
      <c r="C4" s="2455"/>
      <c r="D4" s="2455"/>
      <c r="E4" s="2455"/>
      <c r="F4" s="2455"/>
      <c r="G4" s="2455"/>
      <c r="H4" s="2455"/>
      <c r="I4" s="2455"/>
      <c r="J4" s="2455"/>
      <c r="K4" s="2455"/>
      <c r="L4" s="2455"/>
      <c r="M4" s="2455"/>
      <c r="N4" s="2455"/>
      <c r="O4" s="2455"/>
      <c r="P4" s="2455"/>
      <c r="Q4" s="2455"/>
      <c r="R4" s="2455"/>
      <c r="S4" s="2455"/>
      <c r="T4" s="2455"/>
      <c r="U4" s="2455"/>
      <c r="V4" s="2455"/>
      <c r="W4" s="2455"/>
      <c r="X4" s="2455"/>
      <c r="Y4" s="2455"/>
      <c r="Z4" s="2455"/>
      <c r="AA4" s="2455"/>
      <c r="AB4" s="2455"/>
      <c r="AC4" s="2455"/>
      <c r="AD4" s="2004"/>
      <c r="AE4" s="2010"/>
      <c r="AF4" s="39"/>
    </row>
    <row r="5" spans="1:34">
      <c r="A5" s="2456"/>
      <c r="B5" s="2456"/>
      <c r="C5" s="2456"/>
      <c r="D5" s="2456"/>
      <c r="E5" s="2456"/>
      <c r="F5" s="2456"/>
      <c r="G5" s="2456"/>
      <c r="H5" s="2456"/>
      <c r="I5" s="2456"/>
      <c r="J5" s="2456"/>
      <c r="K5" s="2456"/>
      <c r="L5" s="2456"/>
      <c r="M5" s="2456"/>
      <c r="N5" s="2456"/>
      <c r="O5" s="2456"/>
      <c r="P5" s="2456"/>
      <c r="Q5" s="2456"/>
      <c r="R5" s="2456"/>
      <c r="S5" s="2456"/>
      <c r="T5" s="2456"/>
      <c r="U5" s="2456"/>
      <c r="V5" s="2456"/>
      <c r="W5" s="2456"/>
      <c r="X5" s="2456"/>
      <c r="Y5" s="2456"/>
      <c r="Z5" s="2456"/>
      <c r="AA5" s="2456"/>
      <c r="AB5" s="2456"/>
      <c r="AC5" s="2456"/>
      <c r="AD5" s="2004"/>
      <c r="AE5" s="2010"/>
      <c r="AF5" s="39"/>
    </row>
    <row r="6" spans="1:34">
      <c r="A6" s="2457" t="s">
        <v>114</v>
      </c>
      <c r="B6" s="2457"/>
      <c r="C6" s="2457"/>
      <c r="D6" s="2457" t="s">
        <v>115</v>
      </c>
      <c r="E6" s="2457"/>
      <c r="F6" s="2457"/>
      <c r="G6" s="2457"/>
      <c r="H6" s="2457"/>
      <c r="I6" s="2457" t="s">
        <v>116</v>
      </c>
      <c r="J6" s="2457"/>
      <c r="K6" s="2457"/>
      <c r="L6" s="2457"/>
      <c r="M6" s="2457"/>
      <c r="N6" s="2457"/>
      <c r="O6" s="2457"/>
      <c r="P6" s="2457"/>
      <c r="Q6" s="2457"/>
      <c r="R6" s="2457"/>
      <c r="S6" s="2457"/>
      <c r="T6" s="2457"/>
      <c r="U6" s="2457"/>
      <c r="V6" s="2457"/>
      <c r="W6" s="2457"/>
      <c r="X6" s="2457"/>
      <c r="Y6" s="2457"/>
      <c r="Z6" s="2457"/>
      <c r="AA6" s="2457"/>
      <c r="AB6" s="2457"/>
      <c r="AC6" s="2457"/>
      <c r="AD6" s="2005"/>
      <c r="AE6" s="2011"/>
      <c r="AF6" s="39"/>
    </row>
    <row r="7" spans="1:34">
      <c r="A7" s="2458" t="s">
        <v>117</v>
      </c>
      <c r="B7" s="2458"/>
      <c r="C7" s="1875" t="s">
        <v>118</v>
      </c>
      <c r="D7" s="1876" t="s">
        <v>1</v>
      </c>
      <c r="E7" s="1877"/>
      <c r="F7" s="1878" t="s">
        <v>2</v>
      </c>
      <c r="G7" s="1876"/>
      <c r="H7" s="1879"/>
      <c r="I7" s="1876" t="s">
        <v>119</v>
      </c>
      <c r="J7" s="1876"/>
      <c r="K7" s="1876"/>
      <c r="L7" s="1876"/>
      <c r="M7" s="1876"/>
      <c r="N7" s="1876"/>
      <c r="O7" s="1876"/>
      <c r="P7" s="1876"/>
      <c r="Q7" s="1876"/>
      <c r="R7" s="1876"/>
      <c r="S7" s="1876"/>
      <c r="T7" s="1876"/>
      <c r="U7" s="1876"/>
      <c r="V7" s="1876"/>
      <c r="W7" s="1876"/>
      <c r="X7" s="1876"/>
      <c r="Y7" s="1876"/>
      <c r="Z7" s="2459" t="s">
        <v>120</v>
      </c>
      <c r="AA7" s="2460"/>
      <c r="AB7" s="2460"/>
      <c r="AC7" s="2460"/>
      <c r="AD7" s="2006"/>
      <c r="AE7" s="2012"/>
      <c r="AF7" s="39"/>
    </row>
    <row r="8" spans="1:34">
      <c r="A8" s="2444" t="s">
        <v>121</v>
      </c>
      <c r="B8" s="2444"/>
      <c r="C8" s="1880" t="s">
        <v>122</v>
      </c>
      <c r="D8" s="1881" t="s">
        <v>123</v>
      </c>
      <c r="E8" s="1881"/>
      <c r="F8" s="2000" t="s">
        <v>6</v>
      </c>
      <c r="G8" s="41"/>
      <c r="H8" s="2017"/>
      <c r="I8" s="1881" t="s">
        <v>123</v>
      </c>
      <c r="J8" s="1881"/>
      <c r="K8" s="1881"/>
      <c r="L8" s="1881"/>
      <c r="M8" s="1881"/>
      <c r="N8" s="1881"/>
      <c r="O8" s="1881"/>
      <c r="P8" s="1881"/>
      <c r="Q8" s="1881"/>
      <c r="R8" s="1881"/>
      <c r="S8" s="1881"/>
      <c r="T8" s="1881"/>
      <c r="U8" s="1881"/>
      <c r="V8" s="1881"/>
      <c r="W8" s="1881"/>
      <c r="X8" s="1881"/>
      <c r="Y8" s="1881"/>
      <c r="Z8" s="2000" t="s">
        <v>124</v>
      </c>
      <c r="AA8" s="2014"/>
      <c r="AB8" s="2016"/>
      <c r="AC8" s="2009"/>
      <c r="AD8" s="2007"/>
      <c r="AE8" s="2009"/>
      <c r="AF8" s="39"/>
    </row>
    <row r="9" spans="1:34">
      <c r="A9" s="2444" t="s">
        <v>125</v>
      </c>
      <c r="B9" s="2444"/>
      <c r="C9" s="1882">
        <v>28</v>
      </c>
      <c r="D9" s="1881" t="s">
        <v>126</v>
      </c>
      <c r="E9" s="1881"/>
      <c r="F9" s="2461">
        <v>44774</v>
      </c>
      <c r="G9" s="2461"/>
      <c r="H9" s="2461"/>
      <c r="I9" s="1881" t="s">
        <v>126</v>
      </c>
      <c r="J9" s="1881"/>
      <c r="K9" s="1881"/>
      <c r="L9" s="1881"/>
      <c r="M9" s="1881"/>
      <c r="N9" s="1881"/>
      <c r="O9" s="1881"/>
      <c r="P9" s="1881"/>
      <c r="Q9" s="1881"/>
      <c r="R9" s="1881"/>
      <c r="S9" s="1881"/>
      <c r="T9" s="1881"/>
      <c r="U9" s="1881"/>
      <c r="V9" s="1881"/>
      <c r="W9" s="1881"/>
      <c r="X9" s="1881"/>
      <c r="Y9" s="1881"/>
      <c r="Z9" s="2002">
        <v>44231</v>
      </c>
      <c r="AA9" s="2015"/>
      <c r="AB9" s="2016"/>
      <c r="AC9" s="2009"/>
      <c r="AD9" s="2007"/>
      <c r="AE9" s="2009"/>
      <c r="AF9" s="39"/>
    </row>
    <row r="10" spans="1:34">
      <c r="A10" s="2444" t="s">
        <v>127</v>
      </c>
      <c r="B10" s="2444"/>
      <c r="C10" s="1883" t="s">
        <v>1200</v>
      </c>
      <c r="D10" s="1881" t="s">
        <v>128</v>
      </c>
      <c r="E10" s="1881"/>
      <c r="F10" s="2462">
        <v>44823</v>
      </c>
      <c r="G10" s="2462"/>
      <c r="H10" s="2462"/>
      <c r="I10" s="1881" t="s">
        <v>128</v>
      </c>
      <c r="J10" s="1881"/>
      <c r="K10" s="1881"/>
      <c r="L10" s="1881"/>
      <c r="M10" s="1881"/>
      <c r="N10" s="1881"/>
      <c r="O10" s="1881"/>
      <c r="P10" s="1881"/>
      <c r="Q10" s="1881"/>
      <c r="R10" s="1881"/>
      <c r="S10" s="1881"/>
      <c r="T10" s="1881"/>
      <c r="U10" s="1881"/>
      <c r="V10" s="1881"/>
      <c r="W10" s="1881"/>
      <c r="X10" s="1881"/>
      <c r="Y10" s="1881"/>
      <c r="Z10" s="2002">
        <v>44244</v>
      </c>
      <c r="AA10" s="2015"/>
      <c r="AB10" s="2016"/>
      <c r="AC10" s="2009"/>
      <c r="AD10" s="2007"/>
      <c r="AE10" s="2009"/>
      <c r="AF10" s="39"/>
    </row>
    <row r="11" spans="1:34">
      <c r="A11" s="42"/>
      <c r="B11" s="43"/>
      <c r="C11" s="1884"/>
      <c r="D11" s="2003"/>
      <c r="E11" s="2018"/>
      <c r="F11" s="2001"/>
      <c r="G11" s="44"/>
      <c r="H11" s="45"/>
      <c r="I11" s="1885"/>
      <c r="J11" s="1885"/>
      <c r="K11" s="1885"/>
      <c r="L11" s="1885"/>
      <c r="M11" s="1885"/>
      <c r="N11" s="1885"/>
      <c r="O11" s="1885"/>
      <c r="P11" s="1885"/>
      <c r="Q11" s="1885"/>
      <c r="R11" s="1885"/>
      <c r="S11" s="1885"/>
      <c r="T11" s="1885"/>
      <c r="U11" s="1885"/>
      <c r="V11" s="1885"/>
      <c r="W11" s="1885"/>
      <c r="X11" s="1885"/>
      <c r="Y11" s="1885"/>
      <c r="Z11" s="2003"/>
      <c r="AA11" s="46"/>
      <c r="AB11" s="44"/>
      <c r="AC11" s="47"/>
      <c r="AD11" s="2007"/>
      <c r="AE11" s="2009"/>
      <c r="AF11" s="39"/>
    </row>
    <row r="12" spans="1:34" ht="18">
      <c r="A12" s="2445" t="s">
        <v>129</v>
      </c>
      <c r="B12" s="2445"/>
      <c r="C12" s="2445"/>
      <c r="D12" s="2445"/>
      <c r="E12" s="2445"/>
      <c r="F12" s="2445"/>
      <c r="G12" s="2445"/>
      <c r="H12" s="2445"/>
      <c r="I12" s="2445"/>
      <c r="J12" s="2446"/>
      <c r="K12" s="2446"/>
      <c r="L12" s="2446"/>
      <c r="M12" s="2446"/>
      <c r="N12" s="2446"/>
      <c r="O12" s="2446"/>
      <c r="P12" s="2446"/>
      <c r="Q12" s="2446"/>
      <c r="R12" s="2446"/>
      <c r="S12" s="2446"/>
      <c r="T12" s="2446"/>
      <c r="U12" s="2446"/>
      <c r="V12" s="2446"/>
      <c r="W12" s="2446"/>
      <c r="X12" s="2446"/>
      <c r="Y12" s="2446"/>
      <c r="Z12" s="2445"/>
      <c r="AA12" s="2445"/>
      <c r="AB12" s="2445"/>
      <c r="AC12" s="2445"/>
      <c r="AD12" s="2008"/>
      <c r="AE12" s="2013"/>
      <c r="AF12" s="39"/>
    </row>
    <row r="13" spans="1:34">
      <c r="A13" s="2447" t="s">
        <v>130</v>
      </c>
      <c r="B13" s="2447"/>
      <c r="C13" s="2448" t="s">
        <v>131</v>
      </c>
      <c r="D13" s="2448" t="s">
        <v>132</v>
      </c>
      <c r="E13" s="2449" t="s">
        <v>133</v>
      </c>
      <c r="F13" s="2449"/>
      <c r="G13" s="2449"/>
      <c r="H13" s="2450" t="s">
        <v>134</v>
      </c>
      <c r="I13" s="2450"/>
      <c r="J13" s="2450" t="s">
        <v>816</v>
      </c>
      <c r="K13" s="2450"/>
      <c r="L13" s="2450" t="s">
        <v>817</v>
      </c>
      <c r="M13" s="2450"/>
      <c r="N13" s="2450" t="s">
        <v>995</v>
      </c>
      <c r="O13" s="2450"/>
      <c r="P13" s="2450" t="s">
        <v>994</v>
      </c>
      <c r="Q13" s="2450"/>
      <c r="R13" s="2450" t="s">
        <v>814</v>
      </c>
      <c r="S13" s="2450"/>
      <c r="T13" s="2450" t="s">
        <v>815</v>
      </c>
      <c r="U13" s="2450"/>
      <c r="V13" s="2450" t="s">
        <v>1063</v>
      </c>
      <c r="W13" s="2450"/>
      <c r="X13" s="2450" t="s">
        <v>843</v>
      </c>
      <c r="Y13" s="2450"/>
      <c r="Z13" s="2451">
        <f>C9</f>
        <v>28</v>
      </c>
      <c r="AA13" s="2451"/>
      <c r="AB13" s="2450" t="s">
        <v>135</v>
      </c>
      <c r="AC13" s="2450"/>
      <c r="AD13" s="2450" t="s">
        <v>420</v>
      </c>
      <c r="AE13" s="2450"/>
      <c r="AF13" s="48"/>
      <c r="AG13" s="2452" t="s">
        <v>1144</v>
      </c>
      <c r="AH13" s="2453"/>
    </row>
    <row r="14" spans="1:34">
      <c r="A14" s="49" t="s">
        <v>136</v>
      </c>
      <c r="B14" s="50" t="s">
        <v>137</v>
      </c>
      <c r="C14" s="2448"/>
      <c r="D14" s="2448"/>
      <c r="E14" s="51" t="s">
        <v>138</v>
      </c>
      <c r="F14" s="51" t="s">
        <v>139</v>
      </c>
      <c r="G14" s="52" t="s">
        <v>140</v>
      </c>
      <c r="H14" s="51" t="s">
        <v>139</v>
      </c>
      <c r="I14" s="52" t="s">
        <v>140</v>
      </c>
      <c r="J14" s="51" t="s">
        <v>139</v>
      </c>
      <c r="K14" s="52" t="s">
        <v>140</v>
      </c>
      <c r="L14" s="51" t="s">
        <v>139</v>
      </c>
      <c r="M14" s="52" t="s">
        <v>140</v>
      </c>
      <c r="N14" s="52"/>
      <c r="O14" s="52"/>
      <c r="P14" s="52"/>
      <c r="Q14" s="52"/>
      <c r="R14" s="51" t="s">
        <v>139</v>
      </c>
      <c r="S14" s="51" t="s">
        <v>140</v>
      </c>
      <c r="T14" s="51" t="s">
        <v>139</v>
      </c>
      <c r="U14" s="51" t="s">
        <v>140</v>
      </c>
      <c r="V14" s="51" t="s">
        <v>139</v>
      </c>
      <c r="W14" s="51" t="s">
        <v>140</v>
      </c>
      <c r="X14" s="51" t="s">
        <v>139</v>
      </c>
      <c r="Y14" s="51" t="s">
        <v>140</v>
      </c>
      <c r="Z14" s="51" t="s">
        <v>139</v>
      </c>
      <c r="AA14" s="51" t="s">
        <v>140</v>
      </c>
      <c r="AB14" s="51" t="s">
        <v>139</v>
      </c>
      <c r="AC14" s="52" t="s">
        <v>140</v>
      </c>
      <c r="AD14" s="51" t="s">
        <v>139</v>
      </c>
      <c r="AE14" s="52" t="s">
        <v>140</v>
      </c>
      <c r="AF14" s="48"/>
      <c r="AG14" s="1446" t="s">
        <v>139</v>
      </c>
      <c r="AH14" s="1447" t="s">
        <v>140</v>
      </c>
    </row>
    <row r="15" spans="1:34">
      <c r="A15" s="1886" t="s">
        <v>9</v>
      </c>
      <c r="B15" s="1887" t="s">
        <v>141</v>
      </c>
      <c r="C15" s="1887"/>
      <c r="D15" s="1887"/>
      <c r="E15" s="1887"/>
      <c r="F15" s="1888"/>
      <c r="G15" s="1889"/>
      <c r="H15" s="1887"/>
      <c r="I15" s="1889"/>
      <c r="J15" s="1889"/>
      <c r="K15" s="1889"/>
      <c r="L15" s="1889"/>
      <c r="M15" s="1889"/>
      <c r="N15" s="1889"/>
      <c r="O15" s="1889"/>
      <c r="P15" s="1889"/>
      <c r="Q15" s="1889"/>
      <c r="R15" s="1889"/>
      <c r="S15" s="1889"/>
      <c r="T15" s="1889"/>
      <c r="U15" s="1889"/>
      <c r="V15" s="1889"/>
      <c r="W15" s="1889"/>
      <c r="X15" s="1889"/>
      <c r="Y15" s="1889"/>
      <c r="Z15" s="1887"/>
      <c r="AA15" s="1887"/>
      <c r="AB15" s="1887"/>
      <c r="AC15" s="1889"/>
      <c r="AD15" s="1887"/>
      <c r="AE15" s="1889"/>
      <c r="AF15" s="53"/>
      <c r="AG15" s="1448"/>
      <c r="AH15" s="1449"/>
    </row>
    <row r="16" spans="1:34" s="55" customFormat="1">
      <c r="A16" s="1890" t="s">
        <v>10</v>
      </c>
      <c r="B16" s="1891" t="s">
        <v>142</v>
      </c>
      <c r="C16" s="1892"/>
      <c r="D16" s="1892"/>
      <c r="E16" s="1892"/>
      <c r="F16" s="1893"/>
      <c r="G16" s="1894">
        <f>SUBTOTAL(9,G17:G23)</f>
        <v>75608.37999999999</v>
      </c>
      <c r="H16" s="1892"/>
      <c r="I16" s="1894">
        <f>SUBTOTAL(9,I17:I23)</f>
        <v>228450.56</v>
      </c>
      <c r="J16" s="1894"/>
      <c r="K16" s="1894">
        <f>SUBTOTAL(9,K17:K23)</f>
        <v>108742.39999999999</v>
      </c>
      <c r="L16" s="1894"/>
      <c r="M16" s="1894">
        <f>SUBTOTAL(9,M17:M23)</f>
        <v>45023.45</v>
      </c>
      <c r="N16" s="1894"/>
      <c r="O16" s="1894"/>
      <c r="P16" s="1894"/>
      <c r="Q16" s="1894"/>
      <c r="R16" s="1894"/>
      <c r="S16" s="1894"/>
      <c r="T16" s="1895"/>
      <c r="U16" s="1895"/>
      <c r="V16" s="1895"/>
      <c r="W16" s="1895"/>
      <c r="X16" s="1895"/>
      <c r="Y16" s="1895"/>
      <c r="Z16" s="1892"/>
      <c r="AA16" s="1894">
        <f>SUBTOTAL(9,AA17:AA23)</f>
        <v>0</v>
      </c>
      <c r="AB16" s="1892"/>
      <c r="AC16" s="1894">
        <f>SUBTOTAL(9,AC17:AC23)</f>
        <v>228450.56</v>
      </c>
      <c r="AD16" s="1892"/>
      <c r="AE16" s="1894">
        <f>SUBTOTAL(9,AE17:AE23)</f>
        <v>229374.23</v>
      </c>
      <c r="AF16" s="54"/>
      <c r="AG16" s="1450"/>
      <c r="AH16" s="1451"/>
    </row>
    <row r="17" spans="1:34" ht="38.25" outlineLevel="1">
      <c r="A17" s="772" t="s">
        <v>11</v>
      </c>
      <c r="B17" s="773">
        <v>20712</v>
      </c>
      <c r="C17" s="774" t="s">
        <v>143</v>
      </c>
      <c r="D17" s="773" t="s">
        <v>144</v>
      </c>
      <c r="E17" s="1896">
        <v>48.29</v>
      </c>
      <c r="F17" s="775">
        <v>25</v>
      </c>
      <c r="G17" s="57">
        <f t="shared" ref="G17:G23" si="0">ROUND(E17*F17,2)</f>
        <v>1207.25</v>
      </c>
      <c r="H17" s="1897">
        <v>50</v>
      </c>
      <c r="I17" s="1898">
        <f t="shared" ref="I17:I23" si="1">ROUND((E17*H17),2)</f>
        <v>2414.5</v>
      </c>
      <c r="J17" s="1897">
        <v>0</v>
      </c>
      <c r="K17" s="1898">
        <f>ROUND((E17*J17),2)</f>
        <v>0</v>
      </c>
      <c r="L17" s="1898">
        <v>25</v>
      </c>
      <c r="M17" s="1898">
        <f>ROUND((E17*L17),2)</f>
        <v>1207.25</v>
      </c>
      <c r="N17" s="720">
        <v>0</v>
      </c>
      <c r="O17" s="720">
        <v>0</v>
      </c>
      <c r="P17" s="720"/>
      <c r="Q17" s="720">
        <v>0</v>
      </c>
      <c r="R17" s="1223"/>
      <c r="S17" s="1899">
        <f t="shared" ref="S17:S80" si="2">E17*R17</f>
        <v>0</v>
      </c>
      <c r="T17" s="1898"/>
      <c r="U17" s="1898"/>
      <c r="V17" s="1898"/>
      <c r="W17" s="1898"/>
      <c r="X17" s="1898"/>
      <c r="Y17" s="1898"/>
      <c r="Z17" s="1897">
        <f>VLOOKUP(A17,'12 - CORPO'!$A$1:$R$1841,18,FALSE)</f>
        <v>0</v>
      </c>
      <c r="AA17" s="1898">
        <f t="shared" ref="AA17:AA23" si="3">ROUND((E17*Z17),2)</f>
        <v>0</v>
      </c>
      <c r="AB17" s="1900">
        <f t="shared" ref="AB17:AB23" si="4">(H17+Z17)</f>
        <v>50</v>
      </c>
      <c r="AC17" s="1898">
        <f t="shared" ref="AC17:AC23" si="5">ROUND((E17*AB17),2)</f>
        <v>2414.5</v>
      </c>
      <c r="AD17" s="1898">
        <f>ROUND((F17+J17+R17+L17+T17+N17),5)-X17-P17</f>
        <v>50</v>
      </c>
      <c r="AE17" s="1898">
        <f t="shared" ref="AE17:AE23" si="6">ROUND((E17*AD17),2)</f>
        <v>2414.5</v>
      </c>
      <c r="AF17" s="38"/>
      <c r="AG17" s="1452">
        <f>AD17-AB17</f>
        <v>0</v>
      </c>
      <c r="AH17" s="1453">
        <f t="shared" ref="AH17:AH80" si="7">AG17*E17</f>
        <v>0</v>
      </c>
    </row>
    <row r="18" spans="1:34" ht="25.5" outlineLevel="1">
      <c r="A18" s="58" t="s">
        <v>12</v>
      </c>
      <c r="B18" s="776">
        <v>20714</v>
      </c>
      <c r="C18" s="59" t="s">
        <v>145</v>
      </c>
      <c r="D18" s="777" t="s">
        <v>144</v>
      </c>
      <c r="E18" s="725">
        <v>386.63</v>
      </c>
      <c r="F18" s="778">
        <v>25</v>
      </c>
      <c r="G18" s="57">
        <f t="shared" si="0"/>
        <v>9665.75</v>
      </c>
      <c r="H18" s="719">
        <v>25</v>
      </c>
      <c r="I18" s="720">
        <f t="shared" si="1"/>
        <v>9665.75</v>
      </c>
      <c r="J18" s="719"/>
      <c r="K18" s="720">
        <f>ROUND((E18*J18),2)</f>
        <v>0</v>
      </c>
      <c r="L18" s="720">
        <v>0</v>
      </c>
      <c r="M18" s="720">
        <f t="shared" ref="M18:M23" si="8">ROUND((E18*L18),2)</f>
        <v>0</v>
      </c>
      <c r="N18" s="720">
        <v>0</v>
      </c>
      <c r="O18" s="720">
        <v>0</v>
      </c>
      <c r="P18" s="720"/>
      <c r="Q18" s="720">
        <v>0</v>
      </c>
      <c r="R18" s="719"/>
      <c r="S18" s="725">
        <f t="shared" si="2"/>
        <v>0</v>
      </c>
      <c r="T18" s="720"/>
      <c r="U18" s="720"/>
      <c r="V18" s="720"/>
      <c r="W18" s="720"/>
      <c r="X18" s="720"/>
      <c r="Y18" s="720">
        <f>X18*E18</f>
        <v>0</v>
      </c>
      <c r="Z18" s="719">
        <f>VLOOKUP(A18,'12 - CORPO'!$A$1:$R$1841,18,FALSE)</f>
        <v>0</v>
      </c>
      <c r="AA18" s="720">
        <f t="shared" si="3"/>
        <v>0</v>
      </c>
      <c r="AB18" s="1901">
        <f t="shared" si="4"/>
        <v>25</v>
      </c>
      <c r="AC18" s="720">
        <f t="shared" si="5"/>
        <v>9665.75</v>
      </c>
      <c r="AD18" s="720">
        <f t="shared" ref="AD18:AD23" si="9">ROUND((F18+J18+R18+L18+T18+N18),5)-X18-P18</f>
        <v>25</v>
      </c>
      <c r="AE18" s="720">
        <f t="shared" si="6"/>
        <v>9665.75</v>
      </c>
      <c r="AF18" s="38"/>
      <c r="AG18" s="1452">
        <f t="shared" ref="AG18:AG30" si="10">AD18-AB18</f>
        <v>0</v>
      </c>
      <c r="AH18" s="1453">
        <f t="shared" si="7"/>
        <v>0</v>
      </c>
    </row>
    <row r="19" spans="1:34" ht="38.25" outlineLevel="1">
      <c r="A19" s="58" t="s">
        <v>13</v>
      </c>
      <c r="B19" s="776">
        <v>20713</v>
      </c>
      <c r="C19" s="59" t="s">
        <v>146</v>
      </c>
      <c r="D19" s="777" t="s">
        <v>144</v>
      </c>
      <c r="E19" s="725">
        <v>730.27</v>
      </c>
      <c r="F19" s="778">
        <v>20</v>
      </c>
      <c r="G19" s="57">
        <f t="shared" si="0"/>
        <v>14605.4</v>
      </c>
      <c r="H19" s="719">
        <v>200</v>
      </c>
      <c r="I19" s="720">
        <f t="shared" si="1"/>
        <v>146054</v>
      </c>
      <c r="J19" s="719">
        <v>120</v>
      </c>
      <c r="K19" s="720">
        <f>ROUND((E19*J19),2)</f>
        <v>87632.4</v>
      </c>
      <c r="L19" s="720">
        <v>60</v>
      </c>
      <c r="M19" s="720">
        <f t="shared" si="8"/>
        <v>43816.2</v>
      </c>
      <c r="N19" s="720">
        <v>0</v>
      </c>
      <c r="O19" s="720">
        <v>0</v>
      </c>
      <c r="P19" s="720"/>
      <c r="Q19" s="720">
        <v>0</v>
      </c>
      <c r="R19" s="719"/>
      <c r="S19" s="725">
        <f t="shared" si="2"/>
        <v>0</v>
      </c>
      <c r="T19" s="720"/>
      <c r="U19" s="720"/>
      <c r="V19" s="720"/>
      <c r="W19" s="720"/>
      <c r="X19" s="720"/>
      <c r="Y19" s="720">
        <f t="shared" ref="Y19:Y82" si="11">X19*E19</f>
        <v>0</v>
      </c>
      <c r="Z19" s="719">
        <f>VLOOKUP(A19,'12 - CORPO'!$A$1:$R$1841,18,FALSE)</f>
        <v>0</v>
      </c>
      <c r="AA19" s="720">
        <f t="shared" si="3"/>
        <v>0</v>
      </c>
      <c r="AB19" s="1901">
        <f t="shared" si="4"/>
        <v>200</v>
      </c>
      <c r="AC19" s="720">
        <f t="shared" si="5"/>
        <v>146054</v>
      </c>
      <c r="AD19" s="720">
        <f>ROUND((F19+J19+R19+L19+T19+N19),5)-X19-P19</f>
        <v>200</v>
      </c>
      <c r="AE19" s="720">
        <f t="shared" si="6"/>
        <v>146054</v>
      </c>
      <c r="AF19" s="38"/>
      <c r="AG19" s="1452">
        <f t="shared" si="10"/>
        <v>0</v>
      </c>
      <c r="AH19" s="1453">
        <f t="shared" si="7"/>
        <v>0</v>
      </c>
    </row>
    <row r="20" spans="1:34" ht="25.5" outlineLevel="1">
      <c r="A20" s="58" t="s">
        <v>14</v>
      </c>
      <c r="B20" s="776">
        <v>20711</v>
      </c>
      <c r="C20" s="59" t="s">
        <v>147</v>
      </c>
      <c r="D20" s="777" t="s">
        <v>148</v>
      </c>
      <c r="E20" s="725">
        <v>4175.2700000000004</v>
      </c>
      <c r="F20" s="778">
        <v>1</v>
      </c>
      <c r="G20" s="57">
        <f t="shared" si="0"/>
        <v>4175.2700000000004</v>
      </c>
      <c r="H20" s="719">
        <v>1</v>
      </c>
      <c r="I20" s="720">
        <f t="shared" si="1"/>
        <v>4175.2700000000004</v>
      </c>
      <c r="J20" s="719"/>
      <c r="K20" s="720">
        <f>ROUND((E20*J20),2)</f>
        <v>0</v>
      </c>
      <c r="L20" s="720">
        <v>0</v>
      </c>
      <c r="M20" s="720">
        <f t="shared" si="8"/>
        <v>0</v>
      </c>
      <c r="N20" s="720">
        <v>0</v>
      </c>
      <c r="O20" s="720">
        <v>0</v>
      </c>
      <c r="P20" s="720"/>
      <c r="Q20" s="720">
        <v>0</v>
      </c>
      <c r="R20" s="719"/>
      <c r="S20" s="725">
        <f t="shared" si="2"/>
        <v>0</v>
      </c>
      <c r="T20" s="720"/>
      <c r="U20" s="720"/>
      <c r="V20" s="720"/>
      <c r="W20" s="720"/>
      <c r="X20" s="720"/>
      <c r="Y20" s="720">
        <f t="shared" si="11"/>
        <v>0</v>
      </c>
      <c r="Z20" s="719">
        <f>VLOOKUP(A20,'12 - CORPO'!$A$1:$R$1841,18,FALSE)</f>
        <v>0</v>
      </c>
      <c r="AA20" s="720">
        <f t="shared" si="3"/>
        <v>0</v>
      </c>
      <c r="AB20" s="1901">
        <f t="shared" si="4"/>
        <v>1</v>
      </c>
      <c r="AC20" s="720">
        <f t="shared" si="5"/>
        <v>4175.2700000000004</v>
      </c>
      <c r="AD20" s="720">
        <f t="shared" si="9"/>
        <v>1</v>
      </c>
      <c r="AE20" s="720">
        <f t="shared" si="6"/>
        <v>4175.2700000000004</v>
      </c>
      <c r="AF20" s="38"/>
      <c r="AG20" s="1452">
        <f t="shared" si="10"/>
        <v>0</v>
      </c>
      <c r="AH20" s="1453">
        <f t="shared" si="7"/>
        <v>0</v>
      </c>
    </row>
    <row r="21" spans="1:34" ht="49.5" customHeight="1" outlineLevel="1">
      <c r="A21" s="58" t="s">
        <v>15</v>
      </c>
      <c r="B21" s="776">
        <v>20350</v>
      </c>
      <c r="C21" s="59" t="s">
        <v>149</v>
      </c>
      <c r="D21" s="777" t="s">
        <v>144</v>
      </c>
      <c r="E21" s="725">
        <v>211.1</v>
      </c>
      <c r="F21" s="778">
        <v>200</v>
      </c>
      <c r="G21" s="57">
        <f t="shared" si="0"/>
        <v>42220</v>
      </c>
      <c r="H21" s="719">
        <v>300</v>
      </c>
      <c r="I21" s="720">
        <f t="shared" si="1"/>
        <v>63330</v>
      </c>
      <c r="J21" s="719">
        <v>100</v>
      </c>
      <c r="K21" s="720">
        <f>ROUND((E21*J21),2)</f>
        <v>21110</v>
      </c>
      <c r="L21" s="720">
        <v>0</v>
      </c>
      <c r="M21" s="720">
        <f t="shared" si="8"/>
        <v>0</v>
      </c>
      <c r="N21" s="720">
        <v>0</v>
      </c>
      <c r="O21" s="720">
        <v>0</v>
      </c>
      <c r="P21" s="720"/>
      <c r="Q21" s="720">
        <v>0</v>
      </c>
      <c r="R21" s="719"/>
      <c r="S21" s="725">
        <f t="shared" si="2"/>
        <v>0</v>
      </c>
      <c r="T21" s="720"/>
      <c r="U21" s="720"/>
      <c r="V21" s="720"/>
      <c r="W21" s="720"/>
      <c r="X21" s="720"/>
      <c r="Y21" s="720">
        <f t="shared" si="11"/>
        <v>0</v>
      </c>
      <c r="Z21" s="719">
        <f>VLOOKUP(A21,'12 - CORPO'!$A$1:$R$1841,18,FALSE)</f>
        <v>0</v>
      </c>
      <c r="AA21" s="720">
        <f t="shared" si="3"/>
        <v>0</v>
      </c>
      <c r="AB21" s="1901">
        <f t="shared" si="4"/>
        <v>300</v>
      </c>
      <c r="AC21" s="720">
        <f t="shared" si="5"/>
        <v>63330</v>
      </c>
      <c r="AD21" s="720">
        <f t="shared" si="9"/>
        <v>300</v>
      </c>
      <c r="AE21" s="720">
        <f t="shared" si="6"/>
        <v>63330</v>
      </c>
      <c r="AF21" s="38"/>
      <c r="AG21" s="1452">
        <f t="shared" si="10"/>
        <v>0</v>
      </c>
      <c r="AH21" s="1453">
        <f t="shared" si="7"/>
        <v>0</v>
      </c>
    </row>
    <row r="22" spans="1:34" outlineLevel="1">
      <c r="A22" s="58" t="s">
        <v>16</v>
      </c>
      <c r="B22" s="776">
        <v>20305</v>
      </c>
      <c r="C22" s="59" t="s">
        <v>150</v>
      </c>
      <c r="D22" s="777" t="s">
        <v>151</v>
      </c>
      <c r="E22" s="725">
        <v>351.38</v>
      </c>
      <c r="F22" s="778">
        <v>8</v>
      </c>
      <c r="G22" s="57">
        <f t="shared" si="0"/>
        <v>2811.04</v>
      </c>
      <c r="H22" s="719">
        <v>8</v>
      </c>
      <c r="I22" s="720">
        <f t="shared" si="1"/>
        <v>2811.04</v>
      </c>
      <c r="J22" s="719"/>
      <c r="K22" s="720">
        <f t="shared" ref="K22:K85" si="12">ROUND((E22*J22),2)</f>
        <v>0</v>
      </c>
      <c r="L22" s="720">
        <v>0</v>
      </c>
      <c r="M22" s="720">
        <f t="shared" si="8"/>
        <v>0</v>
      </c>
      <c r="N22" s="720">
        <v>0</v>
      </c>
      <c r="O22" s="720">
        <v>0</v>
      </c>
      <c r="P22" s="720"/>
      <c r="Q22" s="720">
        <v>0</v>
      </c>
      <c r="R22" s="719"/>
      <c r="S22" s="725">
        <f t="shared" si="2"/>
        <v>0</v>
      </c>
      <c r="T22" s="720"/>
      <c r="U22" s="720"/>
      <c r="V22" s="720"/>
      <c r="W22" s="720"/>
      <c r="X22" s="720"/>
      <c r="Y22" s="720">
        <f t="shared" si="11"/>
        <v>0</v>
      </c>
      <c r="Z22" s="719">
        <f>VLOOKUP(A22,'12 - CORPO'!$A$1:$R$1841,18,FALSE)</f>
        <v>0</v>
      </c>
      <c r="AA22" s="720">
        <f t="shared" si="3"/>
        <v>0</v>
      </c>
      <c r="AB22" s="1901">
        <f t="shared" si="4"/>
        <v>8</v>
      </c>
      <c r="AC22" s="720">
        <f t="shared" si="5"/>
        <v>2811.04</v>
      </c>
      <c r="AD22" s="720">
        <f>ROUND((F22+J22+R22+L22+T22+N22),5)-X22-P22</f>
        <v>8</v>
      </c>
      <c r="AE22" s="720">
        <f t="shared" si="6"/>
        <v>2811.04</v>
      </c>
      <c r="AF22" s="38"/>
      <c r="AG22" s="1452">
        <f t="shared" si="10"/>
        <v>0</v>
      </c>
      <c r="AH22" s="1453">
        <f t="shared" si="7"/>
        <v>0</v>
      </c>
    </row>
    <row r="23" spans="1:34" ht="25.5" outlineLevel="1">
      <c r="A23" s="58" t="s">
        <v>17</v>
      </c>
      <c r="B23" s="776">
        <v>200576</v>
      </c>
      <c r="C23" s="59" t="s">
        <v>152</v>
      </c>
      <c r="D23" s="777" t="s">
        <v>148</v>
      </c>
      <c r="E23" s="725">
        <v>923.67</v>
      </c>
      <c r="F23" s="77">
        <v>1</v>
      </c>
      <c r="G23" s="57">
        <f t="shared" si="0"/>
        <v>923.67</v>
      </c>
      <c r="H23" s="1902">
        <v>0</v>
      </c>
      <c r="I23" s="78">
        <f t="shared" si="1"/>
        <v>0</v>
      </c>
      <c r="J23" s="1902"/>
      <c r="K23" s="78">
        <f t="shared" si="12"/>
        <v>0</v>
      </c>
      <c r="L23" s="78">
        <v>0</v>
      </c>
      <c r="M23" s="78">
        <f t="shared" si="8"/>
        <v>0</v>
      </c>
      <c r="N23" s="720">
        <v>0</v>
      </c>
      <c r="O23" s="720">
        <v>0</v>
      </c>
      <c r="P23" s="720"/>
      <c r="Q23" s="720">
        <v>0</v>
      </c>
      <c r="R23" s="719"/>
      <c r="S23" s="725">
        <f t="shared" si="2"/>
        <v>0</v>
      </c>
      <c r="T23" s="78"/>
      <c r="U23" s="78"/>
      <c r="V23" s="78"/>
      <c r="W23" s="78"/>
      <c r="X23" s="78"/>
      <c r="Y23" s="720">
        <f t="shared" si="11"/>
        <v>0</v>
      </c>
      <c r="Z23" s="719">
        <f>VLOOKUP(A23,'12 - CORPO'!$A$1:$R$1841,18,FALSE)</f>
        <v>0</v>
      </c>
      <c r="AA23" s="78">
        <f t="shared" si="3"/>
        <v>0</v>
      </c>
      <c r="AB23" s="1903">
        <f t="shared" si="4"/>
        <v>0</v>
      </c>
      <c r="AC23" s="78">
        <f t="shared" si="5"/>
        <v>0</v>
      </c>
      <c r="AD23" s="78">
        <f t="shared" si="9"/>
        <v>1</v>
      </c>
      <c r="AE23" s="78">
        <f t="shared" si="6"/>
        <v>923.67</v>
      </c>
      <c r="AF23" s="38"/>
      <c r="AG23" s="1452">
        <f t="shared" si="10"/>
        <v>1</v>
      </c>
      <c r="AH23" s="1453">
        <f t="shared" si="7"/>
        <v>923.67</v>
      </c>
    </row>
    <row r="24" spans="1:34" s="55" customFormat="1">
      <c r="A24" s="1890" t="s">
        <v>18</v>
      </c>
      <c r="B24" s="1891" t="s">
        <v>153</v>
      </c>
      <c r="C24" s="1904"/>
      <c r="D24" s="1904"/>
      <c r="E24" s="1904"/>
      <c r="F24" s="1905"/>
      <c r="G24" s="1894">
        <f>SUBTOTAL(9,G25:G30)</f>
        <v>31796.14</v>
      </c>
      <c r="H24" s="1894"/>
      <c r="I24" s="1894">
        <f t="shared" ref="I24:Y24" si="13">SUBTOTAL(9,I25:I30)</f>
        <v>148361.44999999998</v>
      </c>
      <c r="J24" s="1894"/>
      <c r="K24" s="1894">
        <f t="shared" si="13"/>
        <v>69592.399999999994</v>
      </c>
      <c r="L24" s="1894"/>
      <c r="M24" s="1894">
        <f t="shared" si="13"/>
        <v>10427.380000000001</v>
      </c>
      <c r="N24" s="1894"/>
      <c r="O24" s="1894">
        <f>SUBTOTAL(9,O25:O30)</f>
        <v>25391.040000000001</v>
      </c>
      <c r="P24" s="1894"/>
      <c r="Q24" s="1894">
        <f>SUBTOTAL(9,Q25:Q30)</f>
        <v>0</v>
      </c>
      <c r="R24" s="1894">
        <f>SUBTOTAL(9,R25:R30)</f>
        <v>0</v>
      </c>
      <c r="S24" s="1894">
        <f t="shared" si="13"/>
        <v>0</v>
      </c>
      <c r="T24" s="1894">
        <f t="shared" si="13"/>
        <v>0</v>
      </c>
      <c r="U24" s="1894">
        <f t="shared" si="13"/>
        <v>0</v>
      </c>
      <c r="V24" s="1894"/>
      <c r="W24" s="1894">
        <f t="shared" ref="W24" si="14">SUBTOTAL(9,W25:W30)</f>
        <v>0</v>
      </c>
      <c r="X24" s="1894"/>
      <c r="Y24" s="1894">
        <f t="shared" si="13"/>
        <v>0</v>
      </c>
      <c r="Z24" s="1894"/>
      <c r="AA24" s="1894">
        <f>SUBTOTAL(9,AA25:AA30)</f>
        <v>9045.6500000000015</v>
      </c>
      <c r="AB24" s="1894"/>
      <c r="AC24" s="1894">
        <f>SUBTOTAL(9,AC25:AC30)</f>
        <v>157407.1</v>
      </c>
      <c r="AD24" s="1894"/>
      <c r="AE24" s="1894">
        <f>SUBTOTAL(9,AE25:AE30)</f>
        <v>158575.72</v>
      </c>
      <c r="AF24" s="38"/>
      <c r="AG24" s="1452">
        <f t="shared" si="10"/>
        <v>0</v>
      </c>
      <c r="AH24" s="1453">
        <f t="shared" si="7"/>
        <v>0</v>
      </c>
    </row>
    <row r="25" spans="1:34" outlineLevel="1">
      <c r="A25" s="62" t="s">
        <v>19</v>
      </c>
      <c r="B25" s="63">
        <v>20344</v>
      </c>
      <c r="C25" s="64" t="s">
        <v>154</v>
      </c>
      <c r="D25" s="65" t="s">
        <v>148</v>
      </c>
      <c r="E25" s="1899">
        <v>1281.02</v>
      </c>
      <c r="F25" s="56">
        <v>5</v>
      </c>
      <c r="G25" s="57">
        <f t="shared" ref="G25:G30" si="15">ROUND(E25*F25,2)</f>
        <v>6405.1</v>
      </c>
      <c r="H25" s="1900">
        <v>8.5</v>
      </c>
      <c r="I25" s="1906">
        <f t="shared" ref="I25:I30" si="16">ROUND((E25*H25),2)</f>
        <v>10888.67</v>
      </c>
      <c r="J25" s="1897">
        <v>1</v>
      </c>
      <c r="K25" s="1898">
        <f t="shared" si="12"/>
        <v>1281.02</v>
      </c>
      <c r="L25" s="1898">
        <v>5</v>
      </c>
      <c r="M25" s="1898">
        <f>ROUND((E25*L25),2)</f>
        <v>6405.1</v>
      </c>
      <c r="N25" s="1898"/>
      <c r="O25" s="1898">
        <f>ROUND((G25*N25),2)</f>
        <v>0</v>
      </c>
      <c r="P25" s="1898"/>
      <c r="Q25" s="1898">
        <f>ROUND((I25*P25),2)</f>
        <v>0</v>
      </c>
      <c r="R25" s="1898">
        <f>ROUND((J25*Q25),2)</f>
        <v>0</v>
      </c>
      <c r="S25" s="1906"/>
      <c r="T25" s="1906"/>
      <c r="U25" s="1906"/>
      <c r="V25" s="1906"/>
      <c r="W25" s="1906"/>
      <c r="X25" s="1906"/>
      <c r="Y25" s="720">
        <f t="shared" si="11"/>
        <v>0</v>
      </c>
      <c r="Z25" s="719">
        <f>VLOOKUP(A25,'12 - CORPO'!$A$1:$R$1841,18,FALSE)</f>
        <v>2.5</v>
      </c>
      <c r="AA25" s="720">
        <f t="shared" ref="AA25:AA30" si="17">ROUND((E25*Z25),2)</f>
        <v>3202.55</v>
      </c>
      <c r="AB25" s="1900">
        <f t="shared" ref="AB25:AB30" si="18">(H25+Z25)</f>
        <v>11</v>
      </c>
      <c r="AC25" s="1906">
        <f t="shared" ref="AC25:AC30" si="19">ROUND((E25*AB25),2)</f>
        <v>14091.22</v>
      </c>
      <c r="AD25" s="1898">
        <f t="shared" ref="AD25:AD40" si="20">ROUND((F25+J25+R25+L25+T25+N25),5)-X25-P25</f>
        <v>11</v>
      </c>
      <c r="AE25" s="1906">
        <f t="shared" ref="AE25:AE30" si="21">ROUND((E25*AD25),2)</f>
        <v>14091.22</v>
      </c>
      <c r="AF25" s="38"/>
      <c r="AG25" s="1452">
        <f t="shared" si="10"/>
        <v>0</v>
      </c>
      <c r="AH25" s="1453">
        <f t="shared" si="7"/>
        <v>0</v>
      </c>
    </row>
    <row r="26" spans="1:34" ht="38.25" outlineLevel="1">
      <c r="A26" s="66" t="s">
        <v>20</v>
      </c>
      <c r="B26" s="67">
        <v>20353</v>
      </c>
      <c r="C26" s="92" t="s">
        <v>155</v>
      </c>
      <c r="D26" s="68" t="s">
        <v>156</v>
      </c>
      <c r="E26" s="725">
        <v>889.33</v>
      </c>
      <c r="F26" s="778">
        <v>6</v>
      </c>
      <c r="G26" s="57">
        <f t="shared" si="15"/>
        <v>5335.98</v>
      </c>
      <c r="H26" s="719">
        <v>30</v>
      </c>
      <c r="I26" s="720">
        <f t="shared" si="16"/>
        <v>26679.9</v>
      </c>
      <c r="J26" s="719">
        <v>12</v>
      </c>
      <c r="K26" s="720">
        <f t="shared" si="12"/>
        <v>10671.96</v>
      </c>
      <c r="L26" s="720">
        <v>6</v>
      </c>
      <c r="M26" s="720">
        <v>6</v>
      </c>
      <c r="N26" s="720">
        <v>6</v>
      </c>
      <c r="O26" s="720">
        <v>5335.98</v>
      </c>
      <c r="P26" s="720"/>
      <c r="Q26" s="720">
        <v>0</v>
      </c>
      <c r="R26" s="719"/>
      <c r="S26" s="725">
        <f t="shared" si="2"/>
        <v>0</v>
      </c>
      <c r="T26" s="720"/>
      <c r="U26" s="720"/>
      <c r="V26" s="720"/>
      <c r="W26" s="720"/>
      <c r="X26" s="720"/>
      <c r="Y26" s="720">
        <f t="shared" si="11"/>
        <v>0</v>
      </c>
      <c r="Z26" s="719">
        <f>VLOOKUP(A26,'12 - CORPO'!$A$1:$R$1841,18,FALSE)</f>
        <v>0</v>
      </c>
      <c r="AA26" s="720">
        <f t="shared" si="17"/>
        <v>0</v>
      </c>
      <c r="AB26" s="1901">
        <f t="shared" si="18"/>
        <v>30</v>
      </c>
      <c r="AC26" s="720">
        <f t="shared" si="19"/>
        <v>26679.9</v>
      </c>
      <c r="AD26" s="720">
        <f t="shared" si="20"/>
        <v>30</v>
      </c>
      <c r="AE26" s="720">
        <f t="shared" si="21"/>
        <v>26679.9</v>
      </c>
      <c r="AF26" s="38"/>
      <c r="AG26" s="1452">
        <f t="shared" si="10"/>
        <v>0</v>
      </c>
      <c r="AH26" s="1453">
        <f t="shared" si="7"/>
        <v>0</v>
      </c>
    </row>
    <row r="27" spans="1:34" ht="38.25" outlineLevel="1">
      <c r="A27" s="66" t="s">
        <v>21</v>
      </c>
      <c r="B27" s="67">
        <v>20355</v>
      </c>
      <c r="C27" s="92" t="s">
        <v>157</v>
      </c>
      <c r="D27" s="68" t="s">
        <v>156</v>
      </c>
      <c r="E27" s="725">
        <v>1047.96</v>
      </c>
      <c r="F27" s="778">
        <v>6</v>
      </c>
      <c r="G27" s="57">
        <f t="shared" si="15"/>
        <v>6287.76</v>
      </c>
      <c r="H27" s="719">
        <v>30</v>
      </c>
      <c r="I27" s="720">
        <f t="shared" si="16"/>
        <v>31438.799999999999</v>
      </c>
      <c r="J27" s="719">
        <v>12</v>
      </c>
      <c r="K27" s="720">
        <f t="shared" si="12"/>
        <v>12575.52</v>
      </c>
      <c r="L27" s="720">
        <v>6</v>
      </c>
      <c r="M27" s="720">
        <v>6</v>
      </c>
      <c r="N27" s="720">
        <v>6</v>
      </c>
      <c r="O27" s="720">
        <v>6287.76</v>
      </c>
      <c r="P27" s="720"/>
      <c r="Q27" s="720">
        <v>0</v>
      </c>
      <c r="R27" s="719"/>
      <c r="S27" s="725">
        <f t="shared" si="2"/>
        <v>0</v>
      </c>
      <c r="T27" s="720"/>
      <c r="U27" s="720"/>
      <c r="V27" s="720"/>
      <c r="W27" s="720"/>
      <c r="X27" s="720"/>
      <c r="Y27" s="720">
        <f t="shared" si="11"/>
        <v>0</v>
      </c>
      <c r="Z27" s="719">
        <f>VLOOKUP(A27,'12 - CORPO'!$A$1:$R$1841,18,FALSE)</f>
        <v>0</v>
      </c>
      <c r="AA27" s="720">
        <f t="shared" si="17"/>
        <v>0</v>
      </c>
      <c r="AB27" s="1901">
        <f t="shared" si="18"/>
        <v>30</v>
      </c>
      <c r="AC27" s="720">
        <f t="shared" si="19"/>
        <v>31438.799999999999</v>
      </c>
      <c r="AD27" s="720">
        <f t="shared" si="20"/>
        <v>30</v>
      </c>
      <c r="AE27" s="720">
        <f t="shared" si="21"/>
        <v>31438.799999999999</v>
      </c>
      <c r="AF27" s="38"/>
      <c r="AG27" s="1452">
        <f t="shared" si="10"/>
        <v>0</v>
      </c>
      <c r="AH27" s="1453">
        <f t="shared" si="7"/>
        <v>0</v>
      </c>
    </row>
    <row r="28" spans="1:34" ht="51" outlineLevel="1">
      <c r="A28" s="66" t="s">
        <v>22</v>
      </c>
      <c r="B28" s="67">
        <v>20352</v>
      </c>
      <c r="C28" s="92" t="s">
        <v>158</v>
      </c>
      <c r="D28" s="68" t="s">
        <v>156</v>
      </c>
      <c r="E28" s="725">
        <v>973.85</v>
      </c>
      <c r="F28" s="778">
        <v>6</v>
      </c>
      <c r="G28" s="57">
        <f t="shared" si="15"/>
        <v>5843.1</v>
      </c>
      <c r="H28" s="719">
        <v>40.800000000000004</v>
      </c>
      <c r="I28" s="720">
        <f t="shared" si="16"/>
        <v>39733.08</v>
      </c>
      <c r="J28" s="719">
        <v>30</v>
      </c>
      <c r="K28" s="720">
        <f t="shared" si="12"/>
        <v>29215.5</v>
      </c>
      <c r="L28" s="720">
        <v>6</v>
      </c>
      <c r="M28" s="720">
        <v>6</v>
      </c>
      <c r="N28" s="720">
        <v>6</v>
      </c>
      <c r="O28" s="720">
        <v>5843.1</v>
      </c>
      <c r="P28" s="720"/>
      <c r="Q28" s="720">
        <v>0</v>
      </c>
      <c r="R28" s="719"/>
      <c r="S28" s="725">
        <f t="shared" si="2"/>
        <v>0</v>
      </c>
      <c r="T28" s="720"/>
      <c r="U28" s="720"/>
      <c r="V28" s="720"/>
      <c r="W28" s="720"/>
      <c r="X28" s="720"/>
      <c r="Y28" s="720">
        <f t="shared" si="11"/>
        <v>0</v>
      </c>
      <c r="Z28" s="719">
        <f>VLOOKUP(A28,'12 - CORPO'!$A$1:$R$1841,18,FALSE)</f>
        <v>6</v>
      </c>
      <c r="AA28" s="720">
        <f t="shared" si="17"/>
        <v>5843.1</v>
      </c>
      <c r="AB28" s="1901">
        <f t="shared" si="18"/>
        <v>46.800000000000004</v>
      </c>
      <c r="AC28" s="720">
        <f>ROUND((E28*AB28),2)</f>
        <v>45576.18</v>
      </c>
      <c r="AD28" s="720">
        <f t="shared" si="20"/>
        <v>48</v>
      </c>
      <c r="AE28" s="720">
        <f t="shared" si="21"/>
        <v>46744.800000000003</v>
      </c>
      <c r="AF28" s="38"/>
      <c r="AG28" s="1452">
        <f t="shared" si="10"/>
        <v>1.1999999999999957</v>
      </c>
      <c r="AH28" s="1453">
        <f t="shared" si="7"/>
        <v>1168.6199999999958</v>
      </c>
    </row>
    <row r="29" spans="1:34" ht="38.25" outlineLevel="1">
      <c r="A29" s="66" t="s">
        <v>23</v>
      </c>
      <c r="B29" s="67">
        <v>20356</v>
      </c>
      <c r="C29" s="92" t="s">
        <v>159</v>
      </c>
      <c r="D29" s="68" t="s">
        <v>156</v>
      </c>
      <c r="E29" s="725">
        <v>654.32000000000005</v>
      </c>
      <c r="F29" s="778">
        <v>6</v>
      </c>
      <c r="G29" s="57">
        <f t="shared" si="15"/>
        <v>3925.92</v>
      </c>
      <c r="H29" s="719">
        <v>30</v>
      </c>
      <c r="I29" s="720">
        <f t="shared" si="16"/>
        <v>19629.599999999999</v>
      </c>
      <c r="J29" s="719">
        <v>12</v>
      </c>
      <c r="K29" s="720">
        <f t="shared" si="12"/>
        <v>7851.84</v>
      </c>
      <c r="L29" s="720">
        <v>6</v>
      </c>
      <c r="M29" s="720">
        <v>6</v>
      </c>
      <c r="N29" s="720">
        <v>6</v>
      </c>
      <c r="O29" s="720">
        <v>3925.92</v>
      </c>
      <c r="P29" s="720"/>
      <c r="Q29" s="720">
        <v>0</v>
      </c>
      <c r="R29" s="719"/>
      <c r="S29" s="725">
        <f t="shared" si="2"/>
        <v>0</v>
      </c>
      <c r="T29" s="720"/>
      <c r="U29" s="720"/>
      <c r="V29" s="720"/>
      <c r="W29" s="720"/>
      <c r="X29" s="720"/>
      <c r="Y29" s="720">
        <f t="shared" si="11"/>
        <v>0</v>
      </c>
      <c r="Z29" s="719">
        <f>VLOOKUP(A29,'12 - CORPO'!$A$1:$R$1841,18,FALSE)</f>
        <v>0</v>
      </c>
      <c r="AA29" s="720">
        <f t="shared" si="17"/>
        <v>0</v>
      </c>
      <c r="AB29" s="1901">
        <f t="shared" si="18"/>
        <v>30</v>
      </c>
      <c r="AC29" s="720">
        <f t="shared" si="19"/>
        <v>19629.599999999999</v>
      </c>
      <c r="AD29" s="720">
        <f t="shared" si="20"/>
        <v>30</v>
      </c>
      <c r="AE29" s="720">
        <f t="shared" si="21"/>
        <v>19629.599999999999</v>
      </c>
      <c r="AF29" s="38"/>
      <c r="AG29" s="1452">
        <f t="shared" si="10"/>
        <v>0</v>
      </c>
      <c r="AH29" s="1453">
        <f t="shared" si="7"/>
        <v>0</v>
      </c>
    </row>
    <row r="30" spans="1:34" ht="38.25" outlineLevel="1">
      <c r="A30" s="66" t="s">
        <v>24</v>
      </c>
      <c r="B30" s="67">
        <v>20354</v>
      </c>
      <c r="C30" s="59" t="s">
        <v>160</v>
      </c>
      <c r="D30" s="68" t="s">
        <v>156</v>
      </c>
      <c r="E30" s="725">
        <v>666.38</v>
      </c>
      <c r="F30" s="77">
        <v>6</v>
      </c>
      <c r="G30" s="57">
        <f t="shared" si="15"/>
        <v>3998.28</v>
      </c>
      <c r="H30" s="1902">
        <v>30</v>
      </c>
      <c r="I30" s="78">
        <f t="shared" si="16"/>
        <v>19991.400000000001</v>
      </c>
      <c r="J30" s="1902">
        <v>12</v>
      </c>
      <c r="K30" s="78">
        <f t="shared" si="12"/>
        <v>7996.56</v>
      </c>
      <c r="L30" s="78">
        <v>6</v>
      </c>
      <c r="M30" s="78">
        <f>ROUND((E30*L30),2)</f>
        <v>3998.28</v>
      </c>
      <c r="N30" s="78">
        <v>6</v>
      </c>
      <c r="O30" s="78">
        <v>3998.28</v>
      </c>
      <c r="P30" s="720"/>
      <c r="Q30" s="720">
        <v>0</v>
      </c>
      <c r="R30" s="719"/>
      <c r="S30" s="725">
        <f t="shared" si="2"/>
        <v>0</v>
      </c>
      <c r="T30" s="78"/>
      <c r="U30" s="78"/>
      <c r="V30" s="78"/>
      <c r="W30" s="78"/>
      <c r="X30" s="78"/>
      <c r="Y30" s="720">
        <f t="shared" si="11"/>
        <v>0</v>
      </c>
      <c r="Z30" s="719">
        <f>VLOOKUP(A30,'12 - CORPO'!$A$1:$R$1841,18,FALSE)</f>
        <v>0</v>
      </c>
      <c r="AA30" s="78">
        <f t="shared" si="17"/>
        <v>0</v>
      </c>
      <c r="AB30" s="1903">
        <f t="shared" si="18"/>
        <v>30</v>
      </c>
      <c r="AC30" s="78">
        <f t="shared" si="19"/>
        <v>19991.400000000001</v>
      </c>
      <c r="AD30" s="78">
        <f t="shared" si="20"/>
        <v>30</v>
      </c>
      <c r="AE30" s="78">
        <f t="shared" si="21"/>
        <v>19991.400000000001</v>
      </c>
      <c r="AF30" s="38"/>
      <c r="AG30" s="1452">
        <f t="shared" si="10"/>
        <v>0</v>
      </c>
      <c r="AH30" s="1453">
        <f t="shared" si="7"/>
        <v>0</v>
      </c>
    </row>
    <row r="31" spans="1:34">
      <c r="A31" s="69"/>
      <c r="B31" s="70"/>
      <c r="C31" s="1907" t="s">
        <v>161</v>
      </c>
      <c r="D31" s="1907"/>
      <c r="E31" s="1907"/>
      <c r="F31" s="1907"/>
      <c r="G31" s="1908">
        <f>SUBTOTAL(9,$G$16:$G$30)</f>
        <v>107404.51999999999</v>
      </c>
      <c r="H31" s="1908"/>
      <c r="I31" s="1908">
        <f t="shared" ref="I31:AE31" si="22">SUBTOTAL(9,$G$16:$G$30)</f>
        <v>107404.51999999999</v>
      </c>
      <c r="J31" s="1908">
        <f t="shared" si="22"/>
        <v>107404.51999999999</v>
      </c>
      <c r="K31" s="1908">
        <f t="shared" si="22"/>
        <v>107404.51999999999</v>
      </c>
      <c r="L31" s="1908">
        <f t="shared" si="22"/>
        <v>107404.51999999999</v>
      </c>
      <c r="M31" s="1908">
        <f t="shared" si="22"/>
        <v>107404.51999999999</v>
      </c>
      <c r="N31" s="1908">
        <f t="shared" si="22"/>
        <v>107404.51999999999</v>
      </c>
      <c r="O31" s="1908">
        <f t="shared" si="22"/>
        <v>107404.51999999999</v>
      </c>
      <c r="P31" s="1908">
        <f t="shared" si="22"/>
        <v>107404.51999999999</v>
      </c>
      <c r="Q31" s="1908">
        <f t="shared" si="22"/>
        <v>107404.51999999999</v>
      </c>
      <c r="R31" s="1908">
        <f t="shared" si="22"/>
        <v>107404.51999999999</v>
      </c>
      <c r="S31" s="1908">
        <f t="shared" si="22"/>
        <v>107404.51999999999</v>
      </c>
      <c r="T31" s="1908">
        <f t="shared" si="22"/>
        <v>107404.51999999999</v>
      </c>
      <c r="U31" s="1908">
        <f t="shared" si="22"/>
        <v>107404.51999999999</v>
      </c>
      <c r="V31" s="1908"/>
      <c r="W31" s="1908">
        <f t="shared" si="22"/>
        <v>107404.51999999999</v>
      </c>
      <c r="X31" s="1908">
        <f t="shared" si="22"/>
        <v>107404.51999999999</v>
      </c>
      <c r="Y31" s="1908">
        <f t="shared" si="22"/>
        <v>107404.51999999999</v>
      </c>
      <c r="Z31" s="1908"/>
      <c r="AA31" s="1908">
        <f>SUBTOTAL(9,$AA$16:$AA$30)</f>
        <v>9045.6500000000015</v>
      </c>
      <c r="AB31" s="1908">
        <f t="shared" si="22"/>
        <v>107404.51999999999</v>
      </c>
      <c r="AC31" s="1908">
        <f t="shared" si="22"/>
        <v>107404.51999999999</v>
      </c>
      <c r="AD31" s="1908"/>
      <c r="AE31" s="1908">
        <f t="shared" si="22"/>
        <v>107404.51999999999</v>
      </c>
      <c r="AF31" s="38"/>
      <c r="AG31" s="1452"/>
      <c r="AH31" s="1453">
        <f t="shared" si="7"/>
        <v>0</v>
      </c>
    </row>
    <row r="32" spans="1:34">
      <c r="A32" s="1886" t="s">
        <v>25</v>
      </c>
      <c r="B32" s="1887" t="s">
        <v>162</v>
      </c>
      <c r="C32" s="1887"/>
      <c r="D32" s="1887"/>
      <c r="E32" s="1887"/>
      <c r="F32" s="1888"/>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38"/>
      <c r="AG32" s="1452"/>
      <c r="AH32" s="1453">
        <f t="shared" si="7"/>
        <v>0</v>
      </c>
    </row>
    <row r="33" spans="1:34" s="55" customFormat="1">
      <c r="A33" s="1890" t="s">
        <v>26</v>
      </c>
      <c r="B33" s="1891" t="s">
        <v>163</v>
      </c>
      <c r="C33" s="1904"/>
      <c r="D33" s="1904"/>
      <c r="E33" s="1904"/>
      <c r="F33" s="1905"/>
      <c r="G33" s="1894">
        <f>SUBTOTAL(9,G34:G41)</f>
        <v>1494433.2799999998</v>
      </c>
      <c r="H33" s="1894">
        <f t="shared" ref="H33:AE33" si="23">SUBTOTAL(9,H34:H41)</f>
        <v>181109.04099999991</v>
      </c>
      <c r="I33" s="1894">
        <f t="shared" si="23"/>
        <v>974836.73</v>
      </c>
      <c r="J33" s="1894">
        <f t="shared" si="23"/>
        <v>3741.5300153469998</v>
      </c>
      <c r="K33" s="1894">
        <f t="shared" si="23"/>
        <v>170648.94</v>
      </c>
      <c r="L33" s="1894">
        <f t="shared" si="23"/>
        <v>1986</v>
      </c>
      <c r="M33" s="1894">
        <f t="shared" si="23"/>
        <v>173276.28</v>
      </c>
      <c r="N33" s="1894">
        <f t="shared" si="23"/>
        <v>0</v>
      </c>
      <c r="O33" s="1894">
        <f t="shared" si="23"/>
        <v>0</v>
      </c>
      <c r="P33" s="1894">
        <f t="shared" si="23"/>
        <v>0</v>
      </c>
      <c r="Q33" s="1894">
        <f t="shared" si="23"/>
        <v>0</v>
      </c>
      <c r="R33" s="1894">
        <f t="shared" si="23"/>
        <v>0</v>
      </c>
      <c r="S33" s="1894">
        <f t="shared" si="23"/>
        <v>0</v>
      </c>
      <c r="T33" s="1894">
        <f t="shared" si="23"/>
        <v>0</v>
      </c>
      <c r="U33" s="1894">
        <f t="shared" si="23"/>
        <v>0</v>
      </c>
      <c r="V33" s="1894">
        <f t="shared" ref="V33:W33" si="24">SUBTOTAL(9,V34:V41)</f>
        <v>0</v>
      </c>
      <c r="W33" s="1894">
        <f t="shared" si="24"/>
        <v>0</v>
      </c>
      <c r="X33" s="1894">
        <f t="shared" si="23"/>
        <v>10661.720000000001</v>
      </c>
      <c r="Y33" s="1894">
        <f t="shared" si="23"/>
        <v>33803.903293500458</v>
      </c>
      <c r="Z33" s="1894">
        <f t="shared" si="23"/>
        <v>10335.222000000002</v>
      </c>
      <c r="AA33" s="1894">
        <f>SUBTOTAL(9,AA34:AA41)</f>
        <v>456069.27999999997</v>
      </c>
      <c r="AB33" s="1894">
        <f t="shared" si="23"/>
        <v>191444.26299999995</v>
      </c>
      <c r="AC33" s="1894">
        <f t="shared" si="23"/>
        <v>1430906</v>
      </c>
      <c r="AD33" s="1894"/>
      <c r="AE33" s="1894">
        <f t="shared" si="23"/>
        <v>1804554.6</v>
      </c>
      <c r="AF33" s="38"/>
      <c r="AG33" s="1452"/>
      <c r="AH33" s="1453">
        <f t="shared" si="7"/>
        <v>0</v>
      </c>
    </row>
    <row r="34" spans="1:34" outlineLevel="1">
      <c r="A34" s="66" t="s">
        <v>27</v>
      </c>
      <c r="B34" s="1909">
        <v>4805757</v>
      </c>
      <c r="C34" s="1910" t="s">
        <v>181</v>
      </c>
      <c r="D34" s="68" t="s">
        <v>164</v>
      </c>
      <c r="E34" s="725">
        <v>5.58</v>
      </c>
      <c r="F34" s="72">
        <v>9724.02</v>
      </c>
      <c r="G34" s="57">
        <f t="shared" ref="G34:G41" si="25">ROUND(E34*F34,2)</f>
        <v>54260.03</v>
      </c>
      <c r="H34" s="1897">
        <v>2769.1899999999978</v>
      </c>
      <c r="I34" s="1898">
        <f>ROUND((E34*H34),2)</f>
        <v>15452.08</v>
      </c>
      <c r="J34" s="1897">
        <v>0</v>
      </c>
      <c r="K34" s="1898">
        <f t="shared" si="12"/>
        <v>0</v>
      </c>
      <c r="L34" s="1898"/>
      <c r="M34" s="1898">
        <f>ROUND((E34*L34),2)</f>
        <v>0</v>
      </c>
      <c r="N34" s="1898">
        <v>0</v>
      </c>
      <c r="O34" s="1898">
        <v>0</v>
      </c>
      <c r="P34" s="57"/>
      <c r="Q34" s="57">
        <v>0</v>
      </c>
      <c r="R34" s="725"/>
      <c r="S34" s="725">
        <f t="shared" si="2"/>
        <v>0</v>
      </c>
      <c r="T34" s="1898"/>
      <c r="U34" s="1898"/>
      <c r="V34" s="1898"/>
      <c r="W34" s="1898"/>
      <c r="X34" s="1898">
        <v>5461.62</v>
      </c>
      <c r="Y34" s="720">
        <f t="shared" si="11"/>
        <v>30475.839599999999</v>
      </c>
      <c r="Z34" s="1911">
        <f>VLOOKUP(A34,'12 - CORPO'!$A$1:$R$1841,18,FALSE)</f>
        <v>808.02</v>
      </c>
      <c r="AA34" s="1898">
        <f>ROUND((E34*Z34),2)</f>
        <v>4508.75</v>
      </c>
      <c r="AB34" s="1900">
        <f t="shared" ref="AB34:AB41" si="26">(H34+Z34)</f>
        <v>3577.2099999999978</v>
      </c>
      <c r="AC34" s="1898">
        <f t="shared" ref="AC34:AC41" si="27">ROUND((E34*AB34),2)</f>
        <v>19960.830000000002</v>
      </c>
      <c r="AD34" s="1898">
        <f t="shared" si="20"/>
        <v>4262.4000000000005</v>
      </c>
      <c r="AE34" s="1898">
        <f t="shared" ref="AE34:AE40" si="28">ROUND((E34*AD34),2)</f>
        <v>23784.19</v>
      </c>
      <c r="AF34" s="38"/>
      <c r="AG34" s="1452">
        <f t="shared" ref="AG34:AG97" si="29">AD34-AB34</f>
        <v>685.19000000000278</v>
      </c>
      <c r="AH34" s="1453">
        <f t="shared" si="7"/>
        <v>3823.3602000000155</v>
      </c>
    </row>
    <row r="35" spans="1:34" outlineLevel="1">
      <c r="A35" s="66" t="s">
        <v>28</v>
      </c>
      <c r="B35" s="1912">
        <v>5503041</v>
      </c>
      <c r="C35" s="86" t="s">
        <v>165</v>
      </c>
      <c r="D35" s="68" t="s">
        <v>164</v>
      </c>
      <c r="E35" s="725">
        <v>7.27</v>
      </c>
      <c r="F35" s="72">
        <v>4976.93</v>
      </c>
      <c r="G35" s="57">
        <f t="shared" si="25"/>
        <v>36182.28</v>
      </c>
      <c r="H35" s="719">
        <v>0</v>
      </c>
      <c r="I35" s="720">
        <f t="shared" ref="I35:I41" si="30">ROUND((E35*H35),2)</f>
        <v>0</v>
      </c>
      <c r="J35" s="719">
        <v>0</v>
      </c>
      <c r="K35" s="720">
        <f t="shared" si="12"/>
        <v>0</v>
      </c>
      <c r="L35" s="720"/>
      <c r="M35" s="720">
        <f t="shared" ref="M35:M41" si="31">ROUND((E35*L35),2)</f>
        <v>0</v>
      </c>
      <c r="N35" s="720">
        <v>0</v>
      </c>
      <c r="O35" s="720">
        <v>0</v>
      </c>
      <c r="P35" s="720">
        <v>0</v>
      </c>
      <c r="Q35" s="720">
        <v>0</v>
      </c>
      <c r="R35" s="725">
        <v>0</v>
      </c>
      <c r="S35" s="725">
        <f t="shared" si="2"/>
        <v>0</v>
      </c>
      <c r="T35" s="720"/>
      <c r="U35" s="720"/>
      <c r="V35" s="720"/>
      <c r="W35" s="720"/>
      <c r="X35" s="720"/>
      <c r="Y35" s="720">
        <f t="shared" si="11"/>
        <v>0</v>
      </c>
      <c r="Z35" s="1911">
        <f>VLOOKUP(A35,'12 - CORPO'!$A$1:$R$1841,18,FALSE)</f>
        <v>0</v>
      </c>
      <c r="AA35" s="720">
        <f t="shared" ref="AA35:AA41" si="32">ROUND((E35*Z35),2)</f>
        <v>0</v>
      </c>
      <c r="AB35" s="1901">
        <f t="shared" si="26"/>
        <v>0</v>
      </c>
      <c r="AC35" s="57">
        <f t="shared" si="27"/>
        <v>0</v>
      </c>
      <c r="AD35" s="720">
        <f t="shared" si="20"/>
        <v>4976.93</v>
      </c>
      <c r="AE35" s="720">
        <f t="shared" si="28"/>
        <v>36182.28</v>
      </c>
      <c r="AF35" s="38"/>
      <c r="AG35" s="1452">
        <f t="shared" si="29"/>
        <v>4976.93</v>
      </c>
      <c r="AH35" s="1453">
        <f t="shared" si="7"/>
        <v>36182.2811</v>
      </c>
    </row>
    <row r="36" spans="1:34" ht="38.25" outlineLevel="1">
      <c r="A36" s="66" t="s">
        <v>29</v>
      </c>
      <c r="B36" s="1913">
        <v>94340</v>
      </c>
      <c r="C36" s="1910" t="s">
        <v>302</v>
      </c>
      <c r="D36" s="68" t="s">
        <v>164</v>
      </c>
      <c r="E36" s="725">
        <v>87.248883000000006</v>
      </c>
      <c r="F36" s="72">
        <v>2112</v>
      </c>
      <c r="G36" s="57">
        <f t="shared" si="25"/>
        <v>184269.64</v>
      </c>
      <c r="H36" s="719">
        <v>3907.2570000000005</v>
      </c>
      <c r="I36" s="720">
        <f t="shared" si="30"/>
        <v>340903.81</v>
      </c>
      <c r="J36" s="719">
        <v>0</v>
      </c>
      <c r="K36" s="720">
        <f t="shared" si="12"/>
        <v>0</v>
      </c>
      <c r="L36" s="720">
        <v>1986</v>
      </c>
      <c r="M36" s="720">
        <f t="shared" si="31"/>
        <v>173276.28</v>
      </c>
      <c r="N36" s="720">
        <v>0</v>
      </c>
      <c r="O36" s="720">
        <v>0</v>
      </c>
      <c r="P36" s="720">
        <v>0</v>
      </c>
      <c r="Q36" s="720">
        <v>0</v>
      </c>
      <c r="R36" s="725">
        <v>0</v>
      </c>
      <c r="S36" s="725">
        <f t="shared" si="2"/>
        <v>0</v>
      </c>
      <c r="T36" s="720"/>
      <c r="U36" s="720"/>
      <c r="V36" s="720"/>
      <c r="W36" s="720"/>
      <c r="X36" s="720"/>
      <c r="Y36" s="720">
        <f t="shared" si="11"/>
        <v>0</v>
      </c>
      <c r="Z36" s="1911">
        <f>VLOOKUP(A36,'12 - CORPO'!$A$1:$R$1841,18,FALSE)</f>
        <v>168.59999999999991</v>
      </c>
      <c r="AA36" s="720">
        <f>ROUND((E36*Z36),2)</f>
        <v>14710.16</v>
      </c>
      <c r="AB36" s="1901">
        <f t="shared" si="26"/>
        <v>4075.8570000000004</v>
      </c>
      <c r="AC36" s="57">
        <f t="shared" si="27"/>
        <v>355613.97</v>
      </c>
      <c r="AD36" s="720">
        <f t="shared" si="20"/>
        <v>4098</v>
      </c>
      <c r="AE36" s="720">
        <f t="shared" si="28"/>
        <v>357545.92</v>
      </c>
      <c r="AF36" s="38"/>
      <c r="AG36" s="1452">
        <f t="shared" si="29"/>
        <v>22.142999999999574</v>
      </c>
      <c r="AH36" s="1453">
        <f t="shared" si="7"/>
        <v>1931.952016268963</v>
      </c>
    </row>
    <row r="37" spans="1:34" outlineLevel="1">
      <c r="A37" s="66" t="s">
        <v>30</v>
      </c>
      <c r="B37" s="1912">
        <v>42045</v>
      </c>
      <c r="C37" s="1910" t="s">
        <v>206</v>
      </c>
      <c r="D37" s="68" t="s">
        <v>164</v>
      </c>
      <c r="E37" s="725">
        <v>11.61</v>
      </c>
      <c r="F37" s="72">
        <v>4976.93</v>
      </c>
      <c r="G37" s="57">
        <f t="shared" si="25"/>
        <v>57782.16</v>
      </c>
      <c r="H37" s="719">
        <v>1042.0999999999999</v>
      </c>
      <c r="I37" s="720">
        <f t="shared" si="30"/>
        <v>12098.78</v>
      </c>
      <c r="J37" s="719">
        <v>0</v>
      </c>
      <c r="K37" s="720">
        <f t="shared" si="12"/>
        <v>0</v>
      </c>
      <c r="L37" s="720"/>
      <c r="M37" s="720">
        <f t="shared" si="31"/>
        <v>0</v>
      </c>
      <c r="N37" s="720">
        <v>0</v>
      </c>
      <c r="O37" s="720">
        <v>0</v>
      </c>
      <c r="P37" s="720">
        <v>0</v>
      </c>
      <c r="Q37" s="720">
        <v>0</v>
      </c>
      <c r="R37" s="725">
        <v>0</v>
      </c>
      <c r="S37" s="725">
        <f t="shared" si="2"/>
        <v>0</v>
      </c>
      <c r="T37" s="720"/>
      <c r="U37" s="720"/>
      <c r="V37" s="720"/>
      <c r="W37" s="720"/>
      <c r="X37" s="720"/>
      <c r="Y37" s="720">
        <f t="shared" si="11"/>
        <v>0</v>
      </c>
      <c r="Z37" s="1911">
        <f>VLOOKUP(A37,'12 - CORPO'!$A$1:$R$1841,18,FALSE)</f>
        <v>0</v>
      </c>
      <c r="AA37" s="720">
        <f t="shared" si="32"/>
        <v>0</v>
      </c>
      <c r="AB37" s="1901">
        <f t="shared" si="26"/>
        <v>1042.0999999999999</v>
      </c>
      <c r="AC37" s="57">
        <f t="shared" si="27"/>
        <v>12098.78</v>
      </c>
      <c r="AD37" s="720">
        <f t="shared" si="20"/>
        <v>4976.93</v>
      </c>
      <c r="AE37" s="720">
        <f t="shared" si="28"/>
        <v>57782.16</v>
      </c>
      <c r="AF37" s="38"/>
      <c r="AG37" s="1452">
        <f t="shared" si="29"/>
        <v>3934.8300000000004</v>
      </c>
      <c r="AH37" s="1453">
        <f t="shared" si="7"/>
        <v>45683.376300000004</v>
      </c>
    </row>
    <row r="38" spans="1:34" outlineLevel="1">
      <c r="A38" s="66" t="s">
        <v>31</v>
      </c>
      <c r="B38" s="1912">
        <v>5914336</v>
      </c>
      <c r="C38" s="1910" t="s">
        <v>207</v>
      </c>
      <c r="D38" s="68" t="s">
        <v>166</v>
      </c>
      <c r="E38" s="725">
        <v>0.639999941058914</v>
      </c>
      <c r="F38" s="72">
        <v>202006.79</v>
      </c>
      <c r="G38" s="57">
        <f t="shared" si="25"/>
        <v>129284.33</v>
      </c>
      <c r="H38" s="719">
        <v>163626.24899999995</v>
      </c>
      <c r="I38" s="720">
        <f t="shared" si="30"/>
        <v>104720.79</v>
      </c>
      <c r="J38" s="719">
        <v>0</v>
      </c>
      <c r="K38" s="720">
        <f t="shared" si="12"/>
        <v>0</v>
      </c>
      <c r="L38" s="720"/>
      <c r="M38" s="720">
        <f t="shared" si="31"/>
        <v>0</v>
      </c>
      <c r="N38" s="720">
        <v>0</v>
      </c>
      <c r="O38" s="720">
        <v>0</v>
      </c>
      <c r="P38" s="720"/>
      <c r="Q38" s="720">
        <v>0</v>
      </c>
      <c r="R38" s="725"/>
      <c r="S38" s="725">
        <f t="shared" si="2"/>
        <v>0</v>
      </c>
      <c r="T38" s="720"/>
      <c r="U38" s="720"/>
      <c r="V38" s="720"/>
      <c r="W38" s="720"/>
      <c r="X38" s="720">
        <v>5200.1000000000004</v>
      </c>
      <c r="Y38" s="720">
        <f t="shared" si="11"/>
        <v>3328.0636935004591</v>
      </c>
      <c r="Z38" s="1911">
        <f>VLOOKUP(A38,'12 - CORPO'!$A$1:$R$1841,18,FALSE)</f>
        <v>0</v>
      </c>
      <c r="AA38" s="720">
        <f t="shared" si="32"/>
        <v>0</v>
      </c>
      <c r="AB38" s="719">
        <f t="shared" si="26"/>
        <v>163626.24899999995</v>
      </c>
      <c r="AC38" s="57">
        <f t="shared" si="27"/>
        <v>104720.79</v>
      </c>
      <c r="AD38" s="720">
        <f t="shared" si="20"/>
        <v>196806.69</v>
      </c>
      <c r="AE38" s="720">
        <f t="shared" si="28"/>
        <v>125956.27</v>
      </c>
      <c r="AF38" s="38"/>
      <c r="AG38" s="1452">
        <f t="shared" si="29"/>
        <v>33180.44100000005</v>
      </c>
      <c r="AH38" s="1453">
        <f t="shared" si="7"/>
        <v>21235.480284308804</v>
      </c>
    </row>
    <row r="39" spans="1:34" ht="26.25" customHeight="1" outlineLevel="1">
      <c r="A39" s="66" t="s">
        <v>32</v>
      </c>
      <c r="B39" s="63">
        <v>645387</v>
      </c>
      <c r="C39" s="1914" t="s">
        <v>167</v>
      </c>
      <c r="D39" s="68" t="s">
        <v>168</v>
      </c>
      <c r="E39" s="725">
        <v>82.61</v>
      </c>
      <c r="F39" s="72">
        <v>10745.04</v>
      </c>
      <c r="G39" s="57">
        <f t="shared" si="25"/>
        <v>887647.75</v>
      </c>
      <c r="H39" s="719">
        <v>3030.819</v>
      </c>
      <c r="I39" s="720">
        <f t="shared" si="30"/>
        <v>250375.96</v>
      </c>
      <c r="J39" s="719">
        <v>0</v>
      </c>
      <c r="K39" s="720">
        <f t="shared" si="12"/>
        <v>0</v>
      </c>
      <c r="L39" s="720"/>
      <c r="M39" s="720">
        <f t="shared" si="31"/>
        <v>0</v>
      </c>
      <c r="N39" s="720">
        <v>0</v>
      </c>
      <c r="O39" s="720">
        <v>0</v>
      </c>
      <c r="P39" s="720">
        <v>0</v>
      </c>
      <c r="Q39" s="720">
        <v>0</v>
      </c>
      <c r="R39" s="719">
        <v>0</v>
      </c>
      <c r="S39" s="725">
        <f t="shared" si="2"/>
        <v>0</v>
      </c>
      <c r="T39" s="720"/>
      <c r="U39" s="720"/>
      <c r="V39" s="720"/>
      <c r="W39" s="720"/>
      <c r="X39" s="720"/>
      <c r="Y39" s="720">
        <f t="shared" si="11"/>
        <v>0</v>
      </c>
      <c r="Z39" s="1911">
        <f>VLOOKUP(A39,'12 - CORPO'!$A$1:$R$1841,18,FALSE)</f>
        <v>4587.5500000000011</v>
      </c>
      <c r="AA39" s="720">
        <f t="shared" si="32"/>
        <v>378977.51</v>
      </c>
      <c r="AB39" s="1901">
        <f t="shared" si="26"/>
        <v>7618.3690000000006</v>
      </c>
      <c r="AC39" s="57">
        <f t="shared" si="27"/>
        <v>629353.46</v>
      </c>
      <c r="AD39" s="720">
        <f t="shared" si="20"/>
        <v>10745.04</v>
      </c>
      <c r="AE39" s="720">
        <f>ROUND((E39*AD39),2)</f>
        <v>887647.75</v>
      </c>
      <c r="AF39" s="38"/>
      <c r="AG39" s="1452">
        <f t="shared" si="29"/>
        <v>3126.6710000000003</v>
      </c>
      <c r="AH39" s="1453">
        <f t="shared" si="7"/>
        <v>258294.29131000003</v>
      </c>
    </row>
    <row r="40" spans="1:34" ht="25.5" outlineLevel="1">
      <c r="A40" s="66" t="s">
        <v>33</v>
      </c>
      <c r="B40" s="727">
        <v>60024</v>
      </c>
      <c r="C40" s="1910" t="s">
        <v>721</v>
      </c>
      <c r="D40" s="68" t="s">
        <v>168</v>
      </c>
      <c r="E40" s="725">
        <v>12.13</v>
      </c>
      <c r="F40" s="72">
        <v>6470.01</v>
      </c>
      <c r="G40" s="57">
        <f t="shared" si="25"/>
        <v>78481.22</v>
      </c>
      <c r="H40" s="719">
        <v>1667.3600000000006</v>
      </c>
      <c r="I40" s="720">
        <f t="shared" si="30"/>
        <v>20225.080000000002</v>
      </c>
      <c r="J40" s="719">
        <v>0</v>
      </c>
      <c r="K40" s="720">
        <f t="shared" si="12"/>
        <v>0</v>
      </c>
      <c r="L40" s="720"/>
      <c r="M40" s="720">
        <f t="shared" si="31"/>
        <v>0</v>
      </c>
      <c r="N40" s="720">
        <v>0</v>
      </c>
      <c r="O40" s="720">
        <v>0</v>
      </c>
      <c r="P40" s="720">
        <v>0</v>
      </c>
      <c r="Q40" s="720">
        <v>0</v>
      </c>
      <c r="R40" s="719">
        <v>0</v>
      </c>
      <c r="S40" s="725">
        <f t="shared" si="2"/>
        <v>0</v>
      </c>
      <c r="T40" s="720"/>
      <c r="U40" s="720"/>
      <c r="V40" s="720"/>
      <c r="W40" s="720"/>
      <c r="X40" s="720"/>
      <c r="Y40" s="720">
        <f t="shared" si="11"/>
        <v>0</v>
      </c>
      <c r="Z40" s="1911">
        <f>VLOOKUP(A40,'12 - CORPO'!$A$1:$R$1841,18,FALSE)</f>
        <v>4771.0519999999997</v>
      </c>
      <c r="AA40" s="720">
        <f t="shared" si="32"/>
        <v>57872.86</v>
      </c>
      <c r="AB40" s="1901">
        <f t="shared" si="26"/>
        <v>6438.4120000000003</v>
      </c>
      <c r="AC40" s="57">
        <f t="shared" si="27"/>
        <v>78097.94</v>
      </c>
      <c r="AD40" s="720">
        <f t="shared" si="20"/>
        <v>6470.01</v>
      </c>
      <c r="AE40" s="720">
        <f t="shared" si="28"/>
        <v>78481.22</v>
      </c>
      <c r="AF40" s="38"/>
      <c r="AG40" s="1452">
        <f t="shared" si="29"/>
        <v>31.597999999999956</v>
      </c>
      <c r="AH40" s="1453">
        <f t="shared" si="7"/>
        <v>383.28373999999951</v>
      </c>
    </row>
    <row r="41" spans="1:34" ht="25.5" outlineLevel="1">
      <c r="A41" s="73" t="s">
        <v>34</v>
      </c>
      <c r="B41" s="74">
        <v>30304</v>
      </c>
      <c r="C41" s="1910" t="s">
        <v>169</v>
      </c>
      <c r="D41" s="75" t="s">
        <v>164</v>
      </c>
      <c r="E41" s="726">
        <v>45.609400149611602</v>
      </c>
      <c r="F41" s="77">
        <v>1458.6</v>
      </c>
      <c r="G41" s="78">
        <f t="shared" si="25"/>
        <v>66525.87</v>
      </c>
      <c r="H41" s="1902">
        <v>5066.0659999999998</v>
      </c>
      <c r="I41" s="78">
        <f t="shared" si="30"/>
        <v>231060.23</v>
      </c>
      <c r="J41" s="1915">
        <v>3741.5300153469998</v>
      </c>
      <c r="K41" s="78">
        <f>ROUND((E41*J41),2)</f>
        <v>170648.94</v>
      </c>
      <c r="L41" s="78"/>
      <c r="M41" s="78">
        <f t="shared" si="31"/>
        <v>0</v>
      </c>
      <c r="N41" s="78">
        <v>0</v>
      </c>
      <c r="O41" s="78">
        <v>0</v>
      </c>
      <c r="P41" s="1178">
        <v>0</v>
      </c>
      <c r="Q41" s="1178">
        <v>0</v>
      </c>
      <c r="R41" s="719">
        <v>0</v>
      </c>
      <c r="S41" s="725">
        <f t="shared" si="2"/>
        <v>0</v>
      </c>
      <c r="T41" s="78"/>
      <c r="U41" s="78"/>
      <c r="V41" s="78"/>
      <c r="W41" s="78"/>
      <c r="X41" s="78"/>
      <c r="Y41" s="720">
        <f t="shared" si="11"/>
        <v>0</v>
      </c>
      <c r="Z41" s="1902">
        <f>VLOOKUP(A41,'12 - CORPO'!$A$1:$R$1841,18,FALSE)</f>
        <v>0</v>
      </c>
      <c r="AA41" s="78">
        <f t="shared" si="32"/>
        <v>0</v>
      </c>
      <c r="AB41" s="1903">
        <f t="shared" si="26"/>
        <v>5066.0659999999998</v>
      </c>
      <c r="AC41" s="78">
        <f t="shared" si="27"/>
        <v>231060.23</v>
      </c>
      <c r="AD41" s="78">
        <f>ROUND((F41+J41+R41+L41+T41+N41),5)-X41-P41</f>
        <v>5200.1300199999996</v>
      </c>
      <c r="AE41" s="78">
        <f>ROUND((E41*AD41),2)</f>
        <v>237174.81</v>
      </c>
      <c r="AF41" s="38"/>
      <c r="AG41" s="1452">
        <f t="shared" si="29"/>
        <v>134.0640199999998</v>
      </c>
      <c r="AH41" s="1453">
        <f t="shared" si="7"/>
        <v>6114.5795338455237</v>
      </c>
    </row>
    <row r="42" spans="1:34">
      <c r="A42" s="1890" t="s">
        <v>35</v>
      </c>
      <c r="B42" s="1891" t="s">
        <v>170</v>
      </c>
      <c r="C42" s="1904"/>
      <c r="D42" s="1904"/>
      <c r="E42" s="1904"/>
      <c r="F42" s="1905"/>
      <c r="G42" s="1916">
        <f>SUBTOTAL(9,G43:G43)</f>
        <v>8239.0499999999993</v>
      </c>
      <c r="H42" s="1916">
        <v>2</v>
      </c>
      <c r="I42" s="1916">
        <f>SUBTOTAL(9,I43:I43)</f>
        <v>7323.6</v>
      </c>
      <c r="J42" s="1916">
        <f t="shared" ref="J42:AC42" si="33">SUBTOTAL(9,J43:J43)</f>
        <v>0</v>
      </c>
      <c r="K42" s="1916">
        <f t="shared" si="33"/>
        <v>0</v>
      </c>
      <c r="L42" s="1916">
        <f t="shared" si="33"/>
        <v>0</v>
      </c>
      <c r="M42" s="1916">
        <f t="shared" si="33"/>
        <v>0</v>
      </c>
      <c r="N42" s="1916"/>
      <c r="O42" s="1916">
        <f t="shared" si="33"/>
        <v>0</v>
      </c>
      <c r="P42" s="1916"/>
      <c r="Q42" s="1916">
        <f t="shared" si="33"/>
        <v>0</v>
      </c>
      <c r="R42" s="1916"/>
      <c r="S42" s="1916">
        <f t="shared" si="33"/>
        <v>0</v>
      </c>
      <c r="T42" s="1916"/>
      <c r="U42" s="1916">
        <f t="shared" si="33"/>
        <v>0</v>
      </c>
      <c r="V42" s="1916"/>
      <c r="W42" s="1916">
        <f t="shared" si="33"/>
        <v>0</v>
      </c>
      <c r="X42" s="1916"/>
      <c r="Y42" s="1916">
        <f t="shared" si="33"/>
        <v>0</v>
      </c>
      <c r="Z42" s="1916"/>
      <c r="AA42" s="1916">
        <f>SUBTOTAL(9,AA43:AA43)</f>
        <v>915.45</v>
      </c>
      <c r="AB42" s="1916"/>
      <c r="AC42" s="1916">
        <f t="shared" si="33"/>
        <v>8239.0499999999993</v>
      </c>
      <c r="AD42" s="1916"/>
      <c r="AE42" s="1916">
        <f>SUBTOTAL(9,AE43:AE43)</f>
        <v>8239.0499999999993</v>
      </c>
      <c r="AF42" s="38"/>
      <c r="AG42" s="1452"/>
      <c r="AH42" s="1453">
        <f t="shared" si="7"/>
        <v>0</v>
      </c>
    </row>
    <row r="43" spans="1:34" ht="38.25" outlineLevel="1">
      <c r="A43" s="66" t="s">
        <v>36</v>
      </c>
      <c r="B43" s="67" t="s">
        <v>171</v>
      </c>
      <c r="C43" s="59" t="s">
        <v>172</v>
      </c>
      <c r="D43" s="68" t="s">
        <v>39</v>
      </c>
      <c r="E43" s="725">
        <v>915.45</v>
      </c>
      <c r="F43" s="778">
        <v>9</v>
      </c>
      <c r="G43" s="57">
        <f>ROUND(E43*F43,2)</f>
        <v>8239.0499999999993</v>
      </c>
      <c r="H43" s="1917">
        <v>8</v>
      </c>
      <c r="I43" s="1918">
        <f>ROUND((E43*H43),2)</f>
        <v>7323.6</v>
      </c>
      <c r="J43" s="1918"/>
      <c r="K43" s="1918">
        <f t="shared" si="12"/>
        <v>0</v>
      </c>
      <c r="L43" s="1918"/>
      <c r="M43" s="1918">
        <f>ROUND((E43*L43),2)</f>
        <v>0</v>
      </c>
      <c r="N43" s="720">
        <v>0</v>
      </c>
      <c r="O43" s="720">
        <v>0</v>
      </c>
      <c r="P43" s="720"/>
      <c r="Q43" s="720">
        <v>0</v>
      </c>
      <c r="R43" s="1919"/>
      <c r="S43" s="725">
        <f t="shared" si="2"/>
        <v>0</v>
      </c>
      <c r="T43" s="1918"/>
      <c r="U43" s="1918"/>
      <c r="V43" s="1918"/>
      <c r="W43" s="1918"/>
      <c r="X43" s="1918"/>
      <c r="Y43" s="720">
        <f t="shared" si="11"/>
        <v>0</v>
      </c>
      <c r="Z43" s="1917">
        <f>VLOOKUP(A43,'12 - CORPO'!$A$1:$R$1841,18,FALSE)</f>
        <v>1</v>
      </c>
      <c r="AA43" s="1918">
        <f>ROUND((E43*Z43),2)</f>
        <v>915.45</v>
      </c>
      <c r="AB43" s="1920">
        <f>(H43+Z43)</f>
        <v>9</v>
      </c>
      <c r="AC43" s="1918">
        <f>ROUND((E43*AB43),2)</f>
        <v>8239.0499999999993</v>
      </c>
      <c r="AD43" s="78">
        <f>ROUND((F43+J43+R43+L43+T43+N43),5)-X43-P43</f>
        <v>9</v>
      </c>
      <c r="AE43" s="720">
        <f>ROUND((E43*AD43),2)</f>
        <v>8239.0499999999993</v>
      </c>
      <c r="AF43" s="38"/>
      <c r="AG43" s="1452">
        <f t="shared" si="29"/>
        <v>0</v>
      </c>
      <c r="AH43" s="1453">
        <f t="shared" si="7"/>
        <v>0</v>
      </c>
    </row>
    <row r="44" spans="1:34">
      <c r="A44" s="1890" t="s">
        <v>37</v>
      </c>
      <c r="B44" s="1921" t="s">
        <v>173</v>
      </c>
      <c r="C44" s="1904"/>
      <c r="D44" s="1904"/>
      <c r="E44" s="1904"/>
      <c r="F44" s="1905"/>
      <c r="G44" s="1916">
        <f>SUBTOTAL(9,G45:G48)</f>
        <v>47005.84</v>
      </c>
      <c r="H44" s="1916"/>
      <c r="I44" s="1916">
        <f>SUBTOTAL(9,I45:I48)</f>
        <v>42258.619999999995</v>
      </c>
      <c r="J44" s="1916"/>
      <c r="K44" s="1916">
        <f t="shared" ref="K44:AC44" si="34">SUBTOTAL(9,K45:K48)</f>
        <v>2031.64</v>
      </c>
      <c r="L44" s="1916">
        <f t="shared" si="34"/>
        <v>0</v>
      </c>
      <c r="M44" s="1916">
        <f t="shared" si="34"/>
        <v>0</v>
      </c>
      <c r="N44" s="1916">
        <f t="shared" si="34"/>
        <v>244</v>
      </c>
      <c r="O44" s="1916">
        <f t="shared" si="34"/>
        <v>38132.32</v>
      </c>
      <c r="P44" s="1916">
        <f t="shared" si="34"/>
        <v>0</v>
      </c>
      <c r="Q44" s="1916">
        <f t="shared" si="34"/>
        <v>0</v>
      </c>
      <c r="R44" s="1916">
        <f t="shared" si="34"/>
        <v>0</v>
      </c>
      <c r="S44" s="1916">
        <f t="shared" si="34"/>
        <v>0</v>
      </c>
      <c r="T44" s="1916">
        <f t="shared" si="34"/>
        <v>0</v>
      </c>
      <c r="U44" s="1916">
        <f t="shared" si="34"/>
        <v>0</v>
      </c>
      <c r="V44" s="1916">
        <f t="shared" ref="V44:W44" si="35">SUBTOTAL(9,V45:V48)</f>
        <v>0</v>
      </c>
      <c r="W44" s="1916">
        <f t="shared" si="35"/>
        <v>0</v>
      </c>
      <c r="X44" s="1916"/>
      <c r="Y44" s="1916">
        <f t="shared" si="34"/>
        <v>0</v>
      </c>
      <c r="Z44" s="1916"/>
      <c r="AA44" s="1916">
        <f>SUBTOTAL(9,AA45:AA48)</f>
        <v>4148.0800000000036</v>
      </c>
      <c r="AB44" s="1916"/>
      <c r="AC44" s="1916">
        <f t="shared" si="34"/>
        <v>46406.7</v>
      </c>
      <c r="AD44" s="78"/>
      <c r="AE44" s="1916">
        <f>SUBTOTAL(9,AE45:AE48)</f>
        <v>87169.799999999988</v>
      </c>
      <c r="AF44" s="38"/>
      <c r="AG44" s="1452"/>
      <c r="AH44" s="1453">
        <f t="shared" si="7"/>
        <v>0</v>
      </c>
    </row>
    <row r="45" spans="1:34" outlineLevel="1">
      <c r="A45" s="84" t="s">
        <v>38</v>
      </c>
      <c r="B45" s="1909">
        <v>43069</v>
      </c>
      <c r="C45" s="86" t="s">
        <v>174</v>
      </c>
      <c r="D45" s="81" t="s">
        <v>144</v>
      </c>
      <c r="E45" s="779">
        <v>156.28</v>
      </c>
      <c r="F45" s="780">
        <v>26</v>
      </c>
      <c r="G45" s="57">
        <f>ROUND(E45*F45,2)</f>
        <v>4063.28</v>
      </c>
      <c r="H45" s="1897">
        <v>259</v>
      </c>
      <c r="I45" s="1898">
        <f>ROUND((E45*H45),2)</f>
        <v>40476.519999999997</v>
      </c>
      <c r="J45" s="1898">
        <v>13</v>
      </c>
      <c r="K45" s="1898">
        <f t="shared" si="12"/>
        <v>2031.64</v>
      </c>
      <c r="L45" s="1898"/>
      <c r="M45" s="1898">
        <f>ROUND((E45*L45),2)</f>
        <v>0</v>
      </c>
      <c r="N45" s="1898">
        <v>244</v>
      </c>
      <c r="O45" s="1898">
        <v>38132.32</v>
      </c>
      <c r="P45" s="57">
        <v>0</v>
      </c>
      <c r="Q45" s="57">
        <v>0</v>
      </c>
      <c r="R45" s="719">
        <v>0</v>
      </c>
      <c r="S45" s="725">
        <f t="shared" si="2"/>
        <v>0</v>
      </c>
      <c r="T45" s="1898"/>
      <c r="U45" s="1898"/>
      <c r="V45" s="1898"/>
      <c r="W45" s="1898"/>
      <c r="X45" s="1898"/>
      <c r="Y45" s="720">
        <f t="shared" si="11"/>
        <v>0</v>
      </c>
      <c r="Z45" s="1922">
        <f>VLOOKUP(A45,'12 - CORPO'!$A$1:$R$1841,18,FALSE)</f>
        <v>22</v>
      </c>
      <c r="AA45" s="1923">
        <f>AC45-I45</f>
        <v>3438.1600000000035</v>
      </c>
      <c r="AB45" s="1900">
        <f>(H45+Z45)</f>
        <v>281</v>
      </c>
      <c r="AC45" s="1924">
        <f>ROUND((E45*AB45),2)</f>
        <v>43914.68</v>
      </c>
      <c r="AD45" s="1898">
        <f t="shared" ref="AD45:AD107" si="36">ROUND((F45+J45+R45+L45+T45+N45),5)-X45-P45</f>
        <v>283</v>
      </c>
      <c r="AE45" s="1898">
        <f>ROUND((E45*AD45),2)</f>
        <v>44227.24</v>
      </c>
      <c r="AF45" s="38"/>
      <c r="AG45" s="1452">
        <f t="shared" si="29"/>
        <v>2</v>
      </c>
      <c r="AH45" s="1453">
        <f t="shared" si="7"/>
        <v>312.56</v>
      </c>
    </row>
    <row r="46" spans="1:34" ht="25.5" outlineLevel="1">
      <c r="A46" s="1912" t="s">
        <v>40</v>
      </c>
      <c r="B46" s="1912">
        <v>97627</v>
      </c>
      <c r="C46" s="1925" t="s">
        <v>175</v>
      </c>
      <c r="D46" s="1926" t="s">
        <v>164</v>
      </c>
      <c r="E46" s="1927">
        <v>206.59595585968799</v>
      </c>
      <c r="F46" s="1928">
        <v>162.21</v>
      </c>
      <c r="G46" s="57">
        <f>ROUND(E46*F46,2)</f>
        <v>33511.93</v>
      </c>
      <c r="H46" s="719">
        <v>8.6259999999999994</v>
      </c>
      <c r="I46" s="720">
        <f>ROUND((E46*H46),2)</f>
        <v>1782.1</v>
      </c>
      <c r="J46" s="720"/>
      <c r="K46" s="720">
        <f t="shared" si="12"/>
        <v>0</v>
      </c>
      <c r="L46" s="720"/>
      <c r="M46" s="720">
        <f>ROUND((E46*L46),2)</f>
        <v>0</v>
      </c>
      <c r="N46" s="720">
        <v>0</v>
      </c>
      <c r="O46" s="720">
        <v>0</v>
      </c>
      <c r="P46" s="720">
        <v>0</v>
      </c>
      <c r="Q46" s="720">
        <v>0</v>
      </c>
      <c r="R46" s="719">
        <v>0</v>
      </c>
      <c r="S46" s="725">
        <f t="shared" si="2"/>
        <v>0</v>
      </c>
      <c r="T46" s="720"/>
      <c r="U46" s="720"/>
      <c r="V46" s="720"/>
      <c r="W46" s="720"/>
      <c r="X46" s="720"/>
      <c r="Y46" s="720">
        <f t="shared" si="11"/>
        <v>0</v>
      </c>
      <c r="Z46" s="1911">
        <f>VLOOKUP(A46,'12 - CORPO'!$A$1:$R$1841,18,FALSE)</f>
        <v>0</v>
      </c>
      <c r="AA46" s="779">
        <f>AC46-I46</f>
        <v>0</v>
      </c>
      <c r="AB46" s="1901">
        <f>(H46+Z46)</f>
        <v>8.6259999999999994</v>
      </c>
      <c r="AC46" s="1178">
        <f>ROUND((E46*AB46),2)</f>
        <v>1782.1</v>
      </c>
      <c r="AD46" s="720">
        <f t="shared" si="36"/>
        <v>162.21</v>
      </c>
      <c r="AE46" s="720">
        <f>ROUND((E46*AD46),2)</f>
        <v>33511.93</v>
      </c>
      <c r="AF46" s="38"/>
      <c r="AG46" s="1452">
        <f t="shared" si="29"/>
        <v>153.584</v>
      </c>
      <c r="AH46" s="1453">
        <f t="shared" si="7"/>
        <v>31729.833284754321</v>
      </c>
    </row>
    <row r="47" spans="1:34" outlineLevel="1">
      <c r="A47" s="1929" t="s">
        <v>41</v>
      </c>
      <c r="B47" s="1912">
        <v>10325</v>
      </c>
      <c r="C47" s="1925" t="s">
        <v>1206</v>
      </c>
      <c r="D47" s="1926" t="s">
        <v>151</v>
      </c>
      <c r="E47" s="1927">
        <v>24.48</v>
      </c>
      <c r="F47" s="1928">
        <v>29</v>
      </c>
      <c r="G47" s="57">
        <f>ROUND(E47*F47,2)</f>
        <v>709.92</v>
      </c>
      <c r="H47" s="719">
        <v>0</v>
      </c>
      <c r="I47" s="720">
        <f>ROUND((E47*H47),2)</f>
        <v>0</v>
      </c>
      <c r="J47" s="720"/>
      <c r="K47" s="720">
        <f t="shared" si="12"/>
        <v>0</v>
      </c>
      <c r="L47" s="720"/>
      <c r="M47" s="720">
        <f t="shared" ref="M47:M111" si="37">ROUND((E47*L47),2)</f>
        <v>0</v>
      </c>
      <c r="N47" s="720">
        <v>0</v>
      </c>
      <c r="O47" s="720">
        <v>0</v>
      </c>
      <c r="P47" s="720"/>
      <c r="Q47" s="720">
        <v>0</v>
      </c>
      <c r="R47" s="719"/>
      <c r="S47" s="725">
        <f t="shared" si="2"/>
        <v>0</v>
      </c>
      <c r="T47" s="720"/>
      <c r="U47" s="720"/>
      <c r="V47" s="720"/>
      <c r="W47" s="720"/>
      <c r="X47" s="720"/>
      <c r="Y47" s="720">
        <f t="shared" si="11"/>
        <v>0</v>
      </c>
      <c r="Z47" s="1911">
        <f>VLOOKUP(A47,'12 - CORPO'!$A$1:$R$1841,18,FALSE)</f>
        <v>29</v>
      </c>
      <c r="AA47" s="779">
        <f>AC47-I47</f>
        <v>709.92</v>
      </c>
      <c r="AB47" s="1901">
        <f>(H47+Z47)</f>
        <v>29</v>
      </c>
      <c r="AC47" s="1178">
        <f>ROUND((E47*AB47),2)</f>
        <v>709.92</v>
      </c>
      <c r="AD47" s="720">
        <f t="shared" si="36"/>
        <v>29</v>
      </c>
      <c r="AE47" s="720">
        <f>ROUND((E47*AD47),2)</f>
        <v>709.92</v>
      </c>
      <c r="AF47" s="38"/>
      <c r="AG47" s="1452">
        <f t="shared" si="29"/>
        <v>0</v>
      </c>
      <c r="AH47" s="1453">
        <f t="shared" si="7"/>
        <v>0</v>
      </c>
    </row>
    <row r="48" spans="1:34" ht="25.5" outlineLevel="1">
      <c r="A48" s="1930" t="s">
        <v>42</v>
      </c>
      <c r="B48" s="1931">
        <v>30304</v>
      </c>
      <c r="C48" s="1932" t="s">
        <v>176</v>
      </c>
      <c r="D48" s="1933" t="s">
        <v>164</v>
      </c>
      <c r="E48" s="1934">
        <v>45.608022592960602</v>
      </c>
      <c r="F48" s="1935">
        <v>191.21</v>
      </c>
      <c r="G48" s="57">
        <f>ROUND(E48*F48,2)</f>
        <v>8720.7099999999991</v>
      </c>
      <c r="H48" s="1902">
        <v>0</v>
      </c>
      <c r="I48" s="78">
        <f>ROUND((E48*H48),2)</f>
        <v>0</v>
      </c>
      <c r="J48" s="78"/>
      <c r="K48" s="78">
        <f t="shared" si="12"/>
        <v>0</v>
      </c>
      <c r="L48" s="78"/>
      <c r="M48" s="78">
        <f t="shared" si="37"/>
        <v>0</v>
      </c>
      <c r="N48" s="78">
        <v>0</v>
      </c>
      <c r="O48" s="78">
        <v>0</v>
      </c>
      <c r="P48" s="1178"/>
      <c r="Q48" s="1178">
        <v>0</v>
      </c>
      <c r="R48" s="719"/>
      <c r="S48" s="725">
        <f t="shared" si="2"/>
        <v>0</v>
      </c>
      <c r="T48" s="78"/>
      <c r="U48" s="78"/>
      <c r="V48" s="78"/>
      <c r="W48" s="78"/>
      <c r="X48" s="78"/>
      <c r="Y48" s="720">
        <f t="shared" si="11"/>
        <v>0</v>
      </c>
      <c r="Z48" s="1902">
        <f>VLOOKUP(A48,'12 - CORPO'!$A$1:$R$1841,18,FALSE)</f>
        <v>0</v>
      </c>
      <c r="AA48" s="726">
        <f>AC48-I48</f>
        <v>0</v>
      </c>
      <c r="AB48" s="1903">
        <f>(H48+Z48)</f>
        <v>0</v>
      </c>
      <c r="AC48" s="78">
        <f>ROUND((E48*AB48),2)</f>
        <v>0</v>
      </c>
      <c r="AD48" s="720">
        <f t="shared" si="36"/>
        <v>191.21</v>
      </c>
      <c r="AE48" s="78">
        <f>ROUND((E48*AD48),2)</f>
        <v>8720.7099999999991</v>
      </c>
      <c r="AF48" s="38"/>
      <c r="AG48" s="1452">
        <f t="shared" si="29"/>
        <v>191.21</v>
      </c>
      <c r="AH48" s="1453">
        <f t="shared" si="7"/>
        <v>8720.7099999999973</v>
      </c>
    </row>
    <row r="49" spans="1:34">
      <c r="A49" s="1890" t="s">
        <v>43</v>
      </c>
      <c r="B49" s="1891" t="s">
        <v>177</v>
      </c>
      <c r="C49" s="1904"/>
      <c r="D49" s="1904"/>
      <c r="E49" s="1904"/>
      <c r="F49" s="1905"/>
      <c r="G49" s="1916">
        <f>SUBTOTAL(9,G50:G58)</f>
        <v>350635.97000000003</v>
      </c>
      <c r="H49" s="1916"/>
      <c r="I49" s="1916">
        <f>SUBTOTAL(9,I50:I58)</f>
        <v>60596.04</v>
      </c>
      <c r="J49" s="1916">
        <f t="shared" ref="J49:AC49" si="38">SUBTOTAL(9,J50:J58)</f>
        <v>0</v>
      </c>
      <c r="K49" s="1916">
        <f t="shared" si="38"/>
        <v>0</v>
      </c>
      <c r="L49" s="1916">
        <f t="shared" si="38"/>
        <v>0</v>
      </c>
      <c r="M49" s="1916">
        <f t="shared" si="38"/>
        <v>0</v>
      </c>
      <c r="N49" s="1916">
        <f t="shared" si="38"/>
        <v>0</v>
      </c>
      <c r="O49" s="1916">
        <f t="shared" si="38"/>
        <v>0</v>
      </c>
      <c r="P49" s="1916">
        <f t="shared" si="38"/>
        <v>0</v>
      </c>
      <c r="Q49" s="1916">
        <f t="shared" si="38"/>
        <v>0</v>
      </c>
      <c r="R49" s="1916">
        <f t="shared" si="38"/>
        <v>0</v>
      </c>
      <c r="S49" s="1916">
        <f t="shared" si="38"/>
        <v>0</v>
      </c>
      <c r="T49" s="1916">
        <f t="shared" si="38"/>
        <v>0</v>
      </c>
      <c r="U49" s="1916">
        <f t="shared" si="38"/>
        <v>0</v>
      </c>
      <c r="V49" s="1916">
        <f t="shared" ref="V49:W49" si="39">SUBTOTAL(9,V50:V58)</f>
        <v>0</v>
      </c>
      <c r="W49" s="1916">
        <f t="shared" si="39"/>
        <v>0</v>
      </c>
      <c r="X49" s="1916"/>
      <c r="Y49" s="1916">
        <f t="shared" si="38"/>
        <v>0</v>
      </c>
      <c r="Z49" s="1916"/>
      <c r="AA49" s="1916">
        <f>SUBTOTAL(9,AA50:AA51)</f>
        <v>1145.9399999999987</v>
      </c>
      <c r="AB49" s="1916"/>
      <c r="AC49" s="1916">
        <f t="shared" si="38"/>
        <v>61741.979999999996</v>
      </c>
      <c r="AD49" s="1916"/>
      <c r="AE49" s="1916">
        <f>SUBTOTAL(9,AE50:AE51)</f>
        <v>222614.03999999998</v>
      </c>
      <c r="AF49" s="38"/>
      <c r="AG49" s="1452">
        <f t="shared" si="29"/>
        <v>0</v>
      </c>
      <c r="AH49" s="1453">
        <f t="shared" si="7"/>
        <v>0</v>
      </c>
    </row>
    <row r="50" spans="1:34" ht="38.25" outlineLevel="1">
      <c r="A50" s="66" t="s">
        <v>44</v>
      </c>
      <c r="B50" s="727">
        <v>98430</v>
      </c>
      <c r="C50" s="59" t="s">
        <v>178</v>
      </c>
      <c r="D50" s="68" t="s">
        <v>164</v>
      </c>
      <c r="E50" s="725">
        <v>3906.98</v>
      </c>
      <c r="F50" s="778">
        <v>38</v>
      </c>
      <c r="G50" s="57">
        <f>ROUND(E50*F50,2)</f>
        <v>148465.24</v>
      </c>
      <c r="H50" s="1897">
        <v>9</v>
      </c>
      <c r="I50" s="1898">
        <f>ROUND((E50*H50),2)</f>
        <v>35162.82</v>
      </c>
      <c r="J50" s="1898"/>
      <c r="K50" s="1898">
        <f t="shared" si="12"/>
        <v>0</v>
      </c>
      <c r="L50" s="1898"/>
      <c r="M50" s="1898">
        <f t="shared" si="37"/>
        <v>0</v>
      </c>
      <c r="N50" s="1898">
        <v>0</v>
      </c>
      <c r="O50" s="1898">
        <v>0</v>
      </c>
      <c r="P50" s="57">
        <v>0</v>
      </c>
      <c r="Q50" s="57">
        <v>0</v>
      </c>
      <c r="R50" s="719">
        <v>0</v>
      </c>
      <c r="S50" s="725">
        <f t="shared" si="2"/>
        <v>0</v>
      </c>
      <c r="T50" s="1898"/>
      <c r="U50" s="1898"/>
      <c r="V50" s="1898"/>
      <c r="W50" s="1898"/>
      <c r="X50" s="1898"/>
      <c r="Y50" s="720">
        <f t="shared" si="11"/>
        <v>0</v>
      </c>
      <c r="Z50" s="1897">
        <f>VLOOKUP(A50,'12 - CORPO'!$A$1:$R$1841,18,FALSE)</f>
        <v>0</v>
      </c>
      <c r="AA50" s="1896">
        <f>AC50-I50</f>
        <v>0</v>
      </c>
      <c r="AB50" s="1900">
        <f>(H50+Z50)</f>
        <v>9</v>
      </c>
      <c r="AC50" s="1898">
        <f>ROUND((E50*AB50),2)</f>
        <v>35162.82</v>
      </c>
      <c r="AD50" s="720">
        <f t="shared" si="36"/>
        <v>38</v>
      </c>
      <c r="AE50" s="1898">
        <f>ROUND((E50*AD50),2)</f>
        <v>148465.24</v>
      </c>
      <c r="AF50" s="38"/>
      <c r="AG50" s="1452">
        <f t="shared" si="29"/>
        <v>29</v>
      </c>
      <c r="AH50" s="1453">
        <f t="shared" si="7"/>
        <v>113302.42</v>
      </c>
    </row>
    <row r="51" spans="1:34" ht="38.25" outlineLevel="1">
      <c r="A51" s="66" t="s">
        <v>45</v>
      </c>
      <c r="B51" s="727">
        <v>90710</v>
      </c>
      <c r="C51" s="59" t="s">
        <v>179</v>
      </c>
      <c r="D51" s="68" t="s">
        <v>144</v>
      </c>
      <c r="E51" s="725">
        <v>42.13</v>
      </c>
      <c r="F51" s="778">
        <v>1760</v>
      </c>
      <c r="G51" s="57">
        <f>ROUND(E51*F51,2)</f>
        <v>74148.800000000003</v>
      </c>
      <c r="H51" s="1902">
        <v>570.4</v>
      </c>
      <c r="I51" s="78">
        <f>ROUND((E51*H51),2)</f>
        <v>24030.95</v>
      </c>
      <c r="J51" s="78"/>
      <c r="K51" s="78">
        <f t="shared" si="12"/>
        <v>0</v>
      </c>
      <c r="L51" s="78"/>
      <c r="M51" s="78">
        <f t="shared" si="37"/>
        <v>0</v>
      </c>
      <c r="N51" s="78">
        <v>0</v>
      </c>
      <c r="O51" s="78">
        <v>0</v>
      </c>
      <c r="P51" s="720">
        <v>0</v>
      </c>
      <c r="Q51" s="720">
        <v>0</v>
      </c>
      <c r="R51" s="719">
        <v>0</v>
      </c>
      <c r="S51" s="725">
        <f t="shared" si="2"/>
        <v>0</v>
      </c>
      <c r="T51" s="78"/>
      <c r="U51" s="78"/>
      <c r="V51" s="78"/>
      <c r="W51" s="78"/>
      <c r="X51" s="78"/>
      <c r="Y51" s="720">
        <f t="shared" si="11"/>
        <v>0</v>
      </c>
      <c r="Z51" s="1902">
        <f>VLOOKUP(A51,'12 - CORPO'!$A$1:$R$1841,18,FALSE)</f>
        <v>27.200000000000045</v>
      </c>
      <c r="AA51" s="726">
        <f>AC51-I51</f>
        <v>1145.9399999999987</v>
      </c>
      <c r="AB51" s="1903">
        <f>(H51+Z51)</f>
        <v>597.6</v>
      </c>
      <c r="AC51" s="78">
        <f>ROUND((E51*AB51),2)</f>
        <v>25176.89</v>
      </c>
      <c r="AD51" s="720">
        <f t="shared" si="36"/>
        <v>1760</v>
      </c>
      <c r="AE51" s="78">
        <f>ROUND((E51*AD51),2)</f>
        <v>74148.800000000003</v>
      </c>
      <c r="AF51" s="38"/>
      <c r="AG51" s="1452">
        <f t="shared" si="29"/>
        <v>1162.4000000000001</v>
      </c>
      <c r="AH51" s="1453">
        <f t="shared" si="7"/>
        <v>48971.912000000004</v>
      </c>
    </row>
    <row r="52" spans="1:34" s="55" customFormat="1">
      <c r="A52" s="1890" t="s">
        <v>46</v>
      </c>
      <c r="B52" s="1891" t="s">
        <v>180</v>
      </c>
      <c r="C52" s="1904"/>
      <c r="D52" s="1904"/>
      <c r="E52" s="1904"/>
      <c r="F52" s="1905"/>
      <c r="G52" s="1894">
        <f>SUBTOTAL(9,G53:G58)</f>
        <v>128021.93</v>
      </c>
      <c r="H52" s="1894"/>
      <c r="I52" s="1894">
        <f>SUBTOTAL(9,I53:I58)</f>
        <v>1402.27</v>
      </c>
      <c r="J52" s="1894">
        <f t="shared" ref="J52:AC52" si="40">SUBTOTAL(9,J53:J58)</f>
        <v>0</v>
      </c>
      <c r="K52" s="1894">
        <f t="shared" si="40"/>
        <v>0</v>
      </c>
      <c r="L52" s="1894">
        <f t="shared" si="40"/>
        <v>0</v>
      </c>
      <c r="M52" s="1894">
        <f t="shared" si="40"/>
        <v>0</v>
      </c>
      <c r="N52" s="1894">
        <f t="shared" si="40"/>
        <v>0</v>
      </c>
      <c r="O52" s="1894">
        <f t="shared" si="40"/>
        <v>0</v>
      </c>
      <c r="P52" s="1894">
        <f t="shared" si="40"/>
        <v>0</v>
      </c>
      <c r="Q52" s="1894">
        <f t="shared" si="40"/>
        <v>0</v>
      </c>
      <c r="R52" s="1894">
        <f t="shared" si="40"/>
        <v>0</v>
      </c>
      <c r="S52" s="1894">
        <f t="shared" si="40"/>
        <v>0</v>
      </c>
      <c r="T52" s="1894"/>
      <c r="U52" s="1894">
        <f t="shared" si="40"/>
        <v>0</v>
      </c>
      <c r="V52" s="1894"/>
      <c r="W52" s="1894">
        <f t="shared" ref="W52" si="41">SUBTOTAL(9,W53:W58)</f>
        <v>0</v>
      </c>
      <c r="X52" s="1894"/>
      <c r="Y52" s="1894">
        <f t="shared" si="40"/>
        <v>0</v>
      </c>
      <c r="Z52" s="1894"/>
      <c r="AA52" s="1894">
        <f>SUBTOTAL(9,AA53:AA58)</f>
        <v>0</v>
      </c>
      <c r="AB52" s="1894"/>
      <c r="AC52" s="1894">
        <f t="shared" si="40"/>
        <v>1402.27</v>
      </c>
      <c r="AD52" s="1894"/>
      <c r="AE52" s="1894">
        <f>SUBTOTAL(9,AE53:AE58)</f>
        <v>128021.93</v>
      </c>
      <c r="AF52" s="38"/>
      <c r="AG52" s="1452"/>
      <c r="AH52" s="1453">
        <f t="shared" si="7"/>
        <v>0</v>
      </c>
    </row>
    <row r="53" spans="1:34" outlineLevel="1">
      <c r="A53" s="66" t="s">
        <v>47</v>
      </c>
      <c r="B53" s="727">
        <v>4805757</v>
      </c>
      <c r="C53" s="59" t="s">
        <v>181</v>
      </c>
      <c r="D53" s="68" t="s">
        <v>164</v>
      </c>
      <c r="E53" s="725">
        <v>5.58</v>
      </c>
      <c r="F53" s="778">
        <v>1980</v>
      </c>
      <c r="G53" s="57">
        <f t="shared" ref="G53:G58" si="42">ROUND(E53*F53,2)</f>
        <v>11048.4</v>
      </c>
      <c r="H53" s="1897">
        <v>112.8</v>
      </c>
      <c r="I53" s="1898">
        <f t="shared" ref="I53:I58" si="43">ROUND((E53*H53),2)</f>
        <v>629.41999999999996</v>
      </c>
      <c r="J53" s="1898"/>
      <c r="K53" s="1898">
        <f t="shared" si="12"/>
        <v>0</v>
      </c>
      <c r="L53" s="1898"/>
      <c r="M53" s="1898">
        <f t="shared" si="37"/>
        <v>0</v>
      </c>
      <c r="N53" s="1898">
        <v>0</v>
      </c>
      <c r="O53" s="1898">
        <v>0</v>
      </c>
      <c r="P53" s="57">
        <v>0</v>
      </c>
      <c r="Q53" s="57">
        <v>0</v>
      </c>
      <c r="R53" s="719">
        <v>0</v>
      </c>
      <c r="S53" s="725">
        <f t="shared" si="2"/>
        <v>0</v>
      </c>
      <c r="T53" s="1898"/>
      <c r="U53" s="1898"/>
      <c r="V53" s="1898"/>
      <c r="W53" s="1898"/>
      <c r="X53" s="1898"/>
      <c r="Y53" s="720">
        <f t="shared" si="11"/>
        <v>0</v>
      </c>
      <c r="Z53" s="1897">
        <f>VLOOKUP(A53,'12 - CORPO'!$A$1:$R$1841,18,FALSE)</f>
        <v>0</v>
      </c>
      <c r="AA53" s="1896">
        <f t="shared" ref="AA53:AA58" si="44">AC53-I53</f>
        <v>0</v>
      </c>
      <c r="AB53" s="1900">
        <f t="shared" ref="AB53:AB58" si="45">(H53+Z53)</f>
        <v>112.8</v>
      </c>
      <c r="AC53" s="1898">
        <f t="shared" ref="AC53:AC58" si="46">ROUND((E53*AB53),2)</f>
        <v>629.41999999999996</v>
      </c>
      <c r="AD53" s="720">
        <f t="shared" si="36"/>
        <v>1980</v>
      </c>
      <c r="AE53" s="1898">
        <f t="shared" ref="AE53:AE58" si="47">ROUND((E53*AD53),2)</f>
        <v>11048.4</v>
      </c>
      <c r="AF53" s="38"/>
      <c r="AG53" s="1452">
        <f t="shared" si="29"/>
        <v>1867.2</v>
      </c>
      <c r="AH53" s="1453">
        <f t="shared" si="7"/>
        <v>10418.976000000001</v>
      </c>
    </row>
    <row r="54" spans="1:34" outlineLevel="1">
      <c r="A54" s="781" t="s">
        <v>48</v>
      </c>
      <c r="B54" s="782">
        <v>4805749</v>
      </c>
      <c r="C54" s="783" t="s">
        <v>182</v>
      </c>
      <c r="D54" s="81" t="s">
        <v>164</v>
      </c>
      <c r="E54" s="779">
        <v>44.61</v>
      </c>
      <c r="F54" s="780">
        <v>220</v>
      </c>
      <c r="G54" s="57">
        <f t="shared" si="42"/>
        <v>9814.2000000000007</v>
      </c>
      <c r="H54" s="719">
        <v>7.1999999999999993</v>
      </c>
      <c r="I54" s="720">
        <f t="shared" si="43"/>
        <v>321.19</v>
      </c>
      <c r="J54" s="720"/>
      <c r="K54" s="720">
        <f t="shared" si="12"/>
        <v>0</v>
      </c>
      <c r="L54" s="720"/>
      <c r="M54" s="720">
        <f t="shared" si="37"/>
        <v>0</v>
      </c>
      <c r="N54" s="720">
        <v>0</v>
      </c>
      <c r="O54" s="720">
        <v>0</v>
      </c>
      <c r="P54" s="720">
        <v>0</v>
      </c>
      <c r="Q54" s="720">
        <v>0</v>
      </c>
      <c r="R54" s="719">
        <v>0</v>
      </c>
      <c r="S54" s="725">
        <f t="shared" si="2"/>
        <v>0</v>
      </c>
      <c r="T54" s="720"/>
      <c r="U54" s="720"/>
      <c r="V54" s="720"/>
      <c r="W54" s="720"/>
      <c r="X54" s="720"/>
      <c r="Y54" s="720">
        <f t="shared" si="11"/>
        <v>0</v>
      </c>
      <c r="Z54" s="719">
        <f>VLOOKUP(A54,'12 - CORPO'!$A$1:$R$1841,18,FALSE)</f>
        <v>0</v>
      </c>
      <c r="AA54" s="725">
        <f t="shared" si="44"/>
        <v>0</v>
      </c>
      <c r="AB54" s="1901">
        <f t="shared" si="45"/>
        <v>7.1999999999999993</v>
      </c>
      <c r="AC54" s="720">
        <f t="shared" si="46"/>
        <v>321.19</v>
      </c>
      <c r="AD54" s="720">
        <f t="shared" si="36"/>
        <v>220</v>
      </c>
      <c r="AE54" s="720">
        <f t="shared" si="47"/>
        <v>9814.2000000000007</v>
      </c>
      <c r="AF54" s="38"/>
      <c r="AG54" s="1452">
        <f t="shared" si="29"/>
        <v>212.8</v>
      </c>
      <c r="AH54" s="1453">
        <f t="shared" si="7"/>
        <v>9493.0079999999998</v>
      </c>
    </row>
    <row r="55" spans="1:34" ht="25.5" outlineLevel="1">
      <c r="A55" s="781" t="s">
        <v>49</v>
      </c>
      <c r="B55" s="784">
        <v>30206</v>
      </c>
      <c r="C55" s="783" t="s">
        <v>183</v>
      </c>
      <c r="D55" s="81" t="s">
        <v>164</v>
      </c>
      <c r="E55" s="779">
        <v>154.82</v>
      </c>
      <c r="F55" s="780">
        <v>88</v>
      </c>
      <c r="G55" s="57">
        <f t="shared" si="42"/>
        <v>13624.16</v>
      </c>
      <c r="H55" s="719">
        <v>0</v>
      </c>
      <c r="I55" s="720">
        <f t="shared" si="43"/>
        <v>0</v>
      </c>
      <c r="J55" s="720"/>
      <c r="K55" s="720">
        <f t="shared" si="12"/>
        <v>0</v>
      </c>
      <c r="L55" s="720"/>
      <c r="M55" s="720">
        <f t="shared" si="37"/>
        <v>0</v>
      </c>
      <c r="N55" s="720">
        <v>0</v>
      </c>
      <c r="O55" s="720">
        <v>0</v>
      </c>
      <c r="P55" s="720">
        <v>0</v>
      </c>
      <c r="Q55" s="720">
        <v>0</v>
      </c>
      <c r="R55" s="719">
        <v>0</v>
      </c>
      <c r="S55" s="725">
        <f t="shared" si="2"/>
        <v>0</v>
      </c>
      <c r="T55" s="720"/>
      <c r="U55" s="720"/>
      <c r="V55" s="720"/>
      <c r="W55" s="720"/>
      <c r="X55" s="720"/>
      <c r="Y55" s="720">
        <f t="shared" si="11"/>
        <v>0</v>
      </c>
      <c r="Z55" s="719">
        <f>VLOOKUP(A55,'12 - CORPO'!$A$1:$R$1841,18,FALSE)</f>
        <v>0</v>
      </c>
      <c r="AA55" s="725">
        <f t="shared" si="44"/>
        <v>0</v>
      </c>
      <c r="AB55" s="1901">
        <f t="shared" si="45"/>
        <v>0</v>
      </c>
      <c r="AC55" s="720">
        <f t="shared" si="46"/>
        <v>0</v>
      </c>
      <c r="AD55" s="720">
        <f t="shared" si="36"/>
        <v>88</v>
      </c>
      <c r="AE55" s="720">
        <f t="shared" si="47"/>
        <v>13624.16</v>
      </c>
      <c r="AF55" s="38"/>
      <c r="AG55" s="1452">
        <f t="shared" si="29"/>
        <v>88</v>
      </c>
      <c r="AH55" s="1453">
        <f t="shared" si="7"/>
        <v>13624.16</v>
      </c>
    </row>
    <row r="56" spans="1:34" outlineLevel="1">
      <c r="A56" s="84" t="s">
        <v>50</v>
      </c>
      <c r="B56" s="728">
        <v>96995</v>
      </c>
      <c r="C56" s="86" t="s">
        <v>184</v>
      </c>
      <c r="D56" s="81" t="s">
        <v>164</v>
      </c>
      <c r="E56" s="779">
        <v>53.5</v>
      </c>
      <c r="F56" s="780">
        <v>880</v>
      </c>
      <c r="G56" s="57">
        <f t="shared" si="42"/>
        <v>47080</v>
      </c>
      <c r="H56" s="719">
        <v>7.1999999999999993</v>
      </c>
      <c r="I56" s="720">
        <f t="shared" si="43"/>
        <v>385.2</v>
      </c>
      <c r="J56" s="720"/>
      <c r="K56" s="720">
        <f t="shared" si="12"/>
        <v>0</v>
      </c>
      <c r="L56" s="720"/>
      <c r="M56" s="720">
        <f t="shared" si="37"/>
        <v>0</v>
      </c>
      <c r="N56" s="720">
        <v>0</v>
      </c>
      <c r="O56" s="720">
        <v>0</v>
      </c>
      <c r="P56" s="720">
        <v>0</v>
      </c>
      <c r="Q56" s="720">
        <v>0</v>
      </c>
      <c r="R56" s="719">
        <v>0</v>
      </c>
      <c r="S56" s="725">
        <f t="shared" si="2"/>
        <v>0</v>
      </c>
      <c r="T56" s="720"/>
      <c r="U56" s="720"/>
      <c r="V56" s="720"/>
      <c r="W56" s="720"/>
      <c r="X56" s="720"/>
      <c r="Y56" s="720">
        <f t="shared" si="11"/>
        <v>0</v>
      </c>
      <c r="Z56" s="719">
        <f>VLOOKUP(A56,'12 - CORPO'!$A$1:$R$1841,18,FALSE)</f>
        <v>0</v>
      </c>
      <c r="AA56" s="725">
        <f t="shared" si="44"/>
        <v>0</v>
      </c>
      <c r="AB56" s="1901">
        <f t="shared" si="45"/>
        <v>7.1999999999999993</v>
      </c>
      <c r="AC56" s="720">
        <f t="shared" si="46"/>
        <v>385.2</v>
      </c>
      <c r="AD56" s="720">
        <f t="shared" si="36"/>
        <v>880</v>
      </c>
      <c r="AE56" s="720">
        <f t="shared" si="47"/>
        <v>47080</v>
      </c>
      <c r="AF56" s="38"/>
      <c r="AG56" s="1452">
        <f t="shared" si="29"/>
        <v>872.8</v>
      </c>
      <c r="AH56" s="1453">
        <f t="shared" si="7"/>
        <v>46694.799999999996</v>
      </c>
    </row>
    <row r="57" spans="1:34" outlineLevel="1">
      <c r="A57" s="84" t="s">
        <v>51</v>
      </c>
      <c r="B57" s="728">
        <v>93382</v>
      </c>
      <c r="C57" s="86" t="s">
        <v>185</v>
      </c>
      <c r="D57" s="81" t="s">
        <v>164</v>
      </c>
      <c r="E57" s="779">
        <v>38</v>
      </c>
      <c r="F57" s="780">
        <v>1185.19</v>
      </c>
      <c r="G57" s="57">
        <f t="shared" si="42"/>
        <v>45037.22</v>
      </c>
      <c r="H57" s="719">
        <v>0</v>
      </c>
      <c r="I57" s="720">
        <f t="shared" si="43"/>
        <v>0</v>
      </c>
      <c r="J57" s="720"/>
      <c r="K57" s="720">
        <f t="shared" si="12"/>
        <v>0</v>
      </c>
      <c r="L57" s="720"/>
      <c r="M57" s="720">
        <f t="shared" si="37"/>
        <v>0</v>
      </c>
      <c r="N57" s="720">
        <v>0</v>
      </c>
      <c r="O57" s="720">
        <v>0</v>
      </c>
      <c r="P57" s="720">
        <v>0</v>
      </c>
      <c r="Q57" s="720">
        <v>0</v>
      </c>
      <c r="R57" s="719">
        <v>0</v>
      </c>
      <c r="S57" s="725">
        <f t="shared" si="2"/>
        <v>0</v>
      </c>
      <c r="T57" s="720"/>
      <c r="U57" s="720"/>
      <c r="V57" s="720"/>
      <c r="W57" s="720"/>
      <c r="X57" s="720"/>
      <c r="Y57" s="720">
        <f t="shared" si="11"/>
        <v>0</v>
      </c>
      <c r="Z57" s="719">
        <f>VLOOKUP(A57,'12 - CORPO'!$A$1:$R$1841,18,FALSE)</f>
        <v>0</v>
      </c>
      <c r="AA57" s="725">
        <f t="shared" si="44"/>
        <v>0</v>
      </c>
      <c r="AB57" s="1901">
        <f t="shared" si="45"/>
        <v>0</v>
      </c>
      <c r="AC57" s="720">
        <f t="shared" si="46"/>
        <v>0</v>
      </c>
      <c r="AD57" s="720">
        <f t="shared" si="36"/>
        <v>1185.19</v>
      </c>
      <c r="AE57" s="720">
        <f t="shared" si="47"/>
        <v>45037.22</v>
      </c>
      <c r="AF57" s="38"/>
      <c r="AG57" s="1452">
        <f t="shared" si="29"/>
        <v>1185.19</v>
      </c>
      <c r="AH57" s="1453">
        <f t="shared" si="7"/>
        <v>45037.22</v>
      </c>
    </row>
    <row r="58" spans="1:34" ht="25.5" outlineLevel="1">
      <c r="A58" s="84" t="s">
        <v>52</v>
      </c>
      <c r="B58" s="85">
        <v>30304</v>
      </c>
      <c r="C58" s="86" t="s">
        <v>186</v>
      </c>
      <c r="D58" s="81" t="s">
        <v>164</v>
      </c>
      <c r="E58" s="82">
        <v>45.607912512061802</v>
      </c>
      <c r="F58" s="83">
        <v>31.09</v>
      </c>
      <c r="G58" s="57">
        <f t="shared" si="42"/>
        <v>1417.95</v>
      </c>
      <c r="H58" s="1903">
        <v>1.4571562499999999</v>
      </c>
      <c r="I58" s="79">
        <f t="shared" si="43"/>
        <v>66.459999999999994</v>
      </c>
      <c r="J58" s="79"/>
      <c r="K58" s="78">
        <f t="shared" si="12"/>
        <v>0</v>
      </c>
      <c r="L58" s="78"/>
      <c r="M58" s="78">
        <f t="shared" si="37"/>
        <v>0</v>
      </c>
      <c r="N58" s="78">
        <v>0</v>
      </c>
      <c r="O58" s="78">
        <v>0</v>
      </c>
      <c r="P58" s="1178">
        <v>0</v>
      </c>
      <c r="Q58" s="1178">
        <v>0</v>
      </c>
      <c r="R58" s="719">
        <v>0</v>
      </c>
      <c r="S58" s="725">
        <f t="shared" si="2"/>
        <v>0</v>
      </c>
      <c r="T58" s="79"/>
      <c r="U58" s="79"/>
      <c r="V58" s="79"/>
      <c r="W58" s="79"/>
      <c r="X58" s="79"/>
      <c r="Y58" s="720">
        <f t="shared" si="11"/>
        <v>0</v>
      </c>
      <c r="Z58" s="1902">
        <f>VLOOKUP(A58,'12 - CORPO'!$A$1:$R$1841,18,FALSE)</f>
        <v>0</v>
      </c>
      <c r="AA58" s="76">
        <f t="shared" si="44"/>
        <v>0</v>
      </c>
      <c r="AB58" s="1903">
        <f t="shared" si="45"/>
        <v>1.4571562499999999</v>
      </c>
      <c r="AC58" s="79">
        <f t="shared" si="46"/>
        <v>66.459999999999994</v>
      </c>
      <c r="AD58" s="720">
        <f t="shared" si="36"/>
        <v>31.09</v>
      </c>
      <c r="AE58" s="79">
        <f t="shared" si="47"/>
        <v>1417.95</v>
      </c>
      <c r="AF58" s="38"/>
      <c r="AG58" s="1452">
        <f t="shared" si="29"/>
        <v>29.632843749999999</v>
      </c>
      <c r="AH58" s="1453">
        <f t="shared" si="7"/>
        <v>1351.4921452335973</v>
      </c>
    </row>
    <row r="59" spans="1:34">
      <c r="A59" s="1890" t="s">
        <v>53</v>
      </c>
      <c r="B59" s="1891" t="s">
        <v>187</v>
      </c>
      <c r="C59" s="1904"/>
      <c r="D59" s="1904"/>
      <c r="E59" s="1904"/>
      <c r="F59" s="1905"/>
      <c r="G59" s="1894">
        <f>(SUBTOTAL(9,G60:G70)-0.01)</f>
        <v>5176947.68</v>
      </c>
      <c r="H59" s="1894"/>
      <c r="I59" s="1894">
        <f>(SUBTOTAL(9,I60:I70)-0.01)</f>
        <v>2557696.3900000006</v>
      </c>
      <c r="J59" s="1894">
        <f t="shared" ref="J59:Y59" si="48">(SUBTOTAL(9,J60:J70)-0.01)</f>
        <v>431.99</v>
      </c>
      <c r="K59" s="1894">
        <f t="shared" si="48"/>
        <v>7706.87</v>
      </c>
      <c r="L59" s="1894">
        <f t="shared" si="48"/>
        <v>2339.9899999999998</v>
      </c>
      <c r="M59" s="1894">
        <f t="shared" si="48"/>
        <v>41745.589999999997</v>
      </c>
      <c r="N59" s="1894">
        <f t="shared" si="48"/>
        <v>-0.01</v>
      </c>
      <c r="O59" s="1894">
        <f t="shared" si="48"/>
        <v>-0.01</v>
      </c>
      <c r="P59" s="1894">
        <f t="shared" si="48"/>
        <v>-0.01</v>
      </c>
      <c r="Q59" s="1894">
        <f t="shared" si="48"/>
        <v>-0.01</v>
      </c>
      <c r="R59" s="1894">
        <f t="shared" si="48"/>
        <v>-0.01</v>
      </c>
      <c r="S59" s="1894">
        <f t="shared" si="48"/>
        <v>-0.01</v>
      </c>
      <c r="T59" s="1894">
        <f t="shared" si="48"/>
        <v>-0.01</v>
      </c>
      <c r="U59" s="1894">
        <f t="shared" si="48"/>
        <v>-0.01</v>
      </c>
      <c r="V59" s="1894"/>
      <c r="W59" s="1894">
        <f t="shared" ref="W59" si="49">(SUBTOTAL(9,W60:W70)-0.01)</f>
        <v>-0.01</v>
      </c>
      <c r="X59" s="1894">
        <f t="shared" si="48"/>
        <v>-0.01</v>
      </c>
      <c r="Y59" s="1894">
        <f t="shared" si="48"/>
        <v>-0.01</v>
      </c>
      <c r="Z59" s="1894"/>
      <c r="AA59" s="1894">
        <f>(SUBTOTAL(9,AA60:AA70)-0.01)</f>
        <v>63931.680000000029</v>
      </c>
      <c r="AB59" s="1894"/>
      <c r="AC59" s="1894">
        <f>(SUBTOTAL(9,AC60:AC70)-0.01)</f>
        <v>2621628.0800000005</v>
      </c>
      <c r="AD59" s="1894"/>
      <c r="AE59" s="1894">
        <f>(SUBTOTAL(9,AE60:AE70)-0.01)</f>
        <v>5226400.16</v>
      </c>
      <c r="AF59" s="38"/>
      <c r="AG59" s="1452"/>
      <c r="AH59" s="1453">
        <f t="shared" si="7"/>
        <v>0</v>
      </c>
    </row>
    <row r="60" spans="1:34" ht="25.5" outlineLevel="1">
      <c r="A60" s="84" t="s">
        <v>54</v>
      </c>
      <c r="B60" s="85">
        <v>6817851</v>
      </c>
      <c r="C60" s="86" t="s">
        <v>188</v>
      </c>
      <c r="D60" s="81" t="s">
        <v>39</v>
      </c>
      <c r="E60" s="779">
        <v>4275.52790780142</v>
      </c>
      <c r="F60" s="780">
        <v>846</v>
      </c>
      <c r="G60" s="57">
        <f t="shared" ref="G60:G70" si="50">ROUND(E60*F60,2)</f>
        <v>3617096.61</v>
      </c>
      <c r="H60" s="1897">
        <v>344.44</v>
      </c>
      <c r="I60" s="1898">
        <f t="shared" ref="I60:I70" si="51">ROUND((E60*H60),2)</f>
        <v>1472662.83</v>
      </c>
      <c r="J60" s="1898"/>
      <c r="K60" s="1898">
        <f t="shared" si="12"/>
        <v>0</v>
      </c>
      <c r="L60" s="1898"/>
      <c r="M60" s="1898">
        <f t="shared" si="37"/>
        <v>0</v>
      </c>
      <c r="N60" s="1898">
        <v>0</v>
      </c>
      <c r="O60" s="1898">
        <v>0</v>
      </c>
      <c r="P60" s="57">
        <v>0</v>
      </c>
      <c r="Q60" s="57">
        <v>0</v>
      </c>
      <c r="R60" s="719">
        <v>0</v>
      </c>
      <c r="S60" s="725">
        <f t="shared" si="2"/>
        <v>0</v>
      </c>
      <c r="T60" s="1898"/>
      <c r="U60" s="1898"/>
      <c r="V60" s="1898"/>
      <c r="W60" s="1898"/>
      <c r="X60" s="1898"/>
      <c r="Y60" s="720">
        <f t="shared" si="11"/>
        <v>0</v>
      </c>
      <c r="Z60" s="1897">
        <f>VLOOKUP(A60,'12 - CORPO'!$A$1:$R$1841,18,FALSE)</f>
        <v>0</v>
      </c>
      <c r="AA60" s="1896">
        <f>AC60-I60</f>
        <v>0</v>
      </c>
      <c r="AB60" s="1900">
        <f t="shared" ref="AB60:AB70" si="52">(H60+Z60)</f>
        <v>344.44</v>
      </c>
      <c r="AC60" s="1898">
        <f t="shared" ref="AC60:AC70" si="53">ROUND((E60*AB60),2)</f>
        <v>1472662.83</v>
      </c>
      <c r="AD60" s="720">
        <f t="shared" si="36"/>
        <v>846</v>
      </c>
      <c r="AE60" s="1898">
        <f>ROUND((E60*AD60),2)</f>
        <v>3617096.61</v>
      </c>
      <c r="AF60" s="38"/>
      <c r="AG60" s="1452">
        <f t="shared" si="29"/>
        <v>501.56</v>
      </c>
      <c r="AH60" s="1453">
        <f t="shared" si="7"/>
        <v>2144433.7774368804</v>
      </c>
    </row>
    <row r="61" spans="1:34" ht="25.5" outlineLevel="1">
      <c r="A61" s="84" t="s">
        <v>55</v>
      </c>
      <c r="B61" s="85">
        <v>6817851</v>
      </c>
      <c r="C61" s="86" t="s">
        <v>189</v>
      </c>
      <c r="D61" s="81" t="s">
        <v>39</v>
      </c>
      <c r="E61" s="779">
        <v>5152.1476470588204</v>
      </c>
      <c r="F61" s="780">
        <v>17</v>
      </c>
      <c r="G61" s="57">
        <f t="shared" si="50"/>
        <v>87586.51</v>
      </c>
      <c r="H61" s="719">
        <v>10</v>
      </c>
      <c r="I61" s="720">
        <f t="shared" si="51"/>
        <v>51521.48</v>
      </c>
      <c r="J61" s="720"/>
      <c r="K61" s="720">
        <f t="shared" si="12"/>
        <v>0</v>
      </c>
      <c r="L61" s="720"/>
      <c r="M61" s="720">
        <f t="shared" si="37"/>
        <v>0</v>
      </c>
      <c r="N61" s="720">
        <v>0</v>
      </c>
      <c r="O61" s="720">
        <v>0</v>
      </c>
      <c r="P61" s="720">
        <v>0</v>
      </c>
      <c r="Q61" s="720">
        <v>0</v>
      </c>
      <c r="R61" s="719">
        <v>0</v>
      </c>
      <c r="S61" s="725">
        <f t="shared" si="2"/>
        <v>0</v>
      </c>
      <c r="T61" s="720"/>
      <c r="U61" s="720"/>
      <c r="V61" s="720"/>
      <c r="W61" s="720"/>
      <c r="X61" s="720"/>
      <c r="Y61" s="720">
        <f t="shared" si="11"/>
        <v>0</v>
      </c>
      <c r="Z61" s="719">
        <f>VLOOKUP(A61,'12 - CORPO'!$A$1:$R$1841,18,FALSE)</f>
        <v>0</v>
      </c>
      <c r="AA61" s="725">
        <f t="shared" ref="AA61:AA70" si="54">AC61-I61</f>
        <v>0</v>
      </c>
      <c r="AB61" s="1901">
        <f t="shared" si="52"/>
        <v>10</v>
      </c>
      <c r="AC61" s="720">
        <f t="shared" si="53"/>
        <v>51521.48</v>
      </c>
      <c r="AD61" s="720">
        <f>ROUND((F61+J61+R61+L61+T61+N61),5)-X61-P61</f>
        <v>17</v>
      </c>
      <c r="AE61" s="720">
        <f t="shared" ref="AE61:AE70" si="55">ROUND((E61*AD61),2)</f>
        <v>87586.51</v>
      </c>
      <c r="AF61" s="38"/>
      <c r="AG61" s="1452">
        <f t="shared" si="29"/>
        <v>7</v>
      </c>
      <c r="AH61" s="1453">
        <f t="shared" si="7"/>
        <v>36065.033529411739</v>
      </c>
    </row>
    <row r="62" spans="1:34" ht="25.5" outlineLevel="1">
      <c r="A62" s="84" t="s">
        <v>56</v>
      </c>
      <c r="B62" s="728">
        <v>1106057</v>
      </c>
      <c r="C62" s="86" t="s">
        <v>190</v>
      </c>
      <c r="D62" s="81" t="s">
        <v>164</v>
      </c>
      <c r="E62" s="779">
        <v>355.32</v>
      </c>
      <c r="F62" s="780">
        <v>167.2</v>
      </c>
      <c r="G62" s="57">
        <f t="shared" si="50"/>
        <v>59409.5</v>
      </c>
      <c r="H62" s="719">
        <v>71.743000000000009</v>
      </c>
      <c r="I62" s="720">
        <f t="shared" si="51"/>
        <v>25491.72</v>
      </c>
      <c r="J62" s="720"/>
      <c r="K62" s="720">
        <f t="shared" si="12"/>
        <v>0</v>
      </c>
      <c r="L62" s="720"/>
      <c r="M62" s="720">
        <f t="shared" si="37"/>
        <v>0</v>
      </c>
      <c r="N62" s="720">
        <v>0</v>
      </c>
      <c r="O62" s="720">
        <v>0</v>
      </c>
      <c r="P62" s="720">
        <v>0</v>
      </c>
      <c r="Q62" s="720">
        <v>0</v>
      </c>
      <c r="R62" s="719">
        <v>0</v>
      </c>
      <c r="S62" s="725">
        <f t="shared" si="2"/>
        <v>0</v>
      </c>
      <c r="T62" s="720"/>
      <c r="U62" s="720"/>
      <c r="V62" s="720"/>
      <c r="W62" s="720"/>
      <c r="X62" s="720"/>
      <c r="Y62" s="720">
        <f t="shared" si="11"/>
        <v>0</v>
      </c>
      <c r="Z62" s="719">
        <f>VLOOKUP(A62,'12 - CORPO'!$A$1:$R$1841,18,FALSE)</f>
        <v>77.280000000000015</v>
      </c>
      <c r="AA62" s="725">
        <f t="shared" si="54"/>
        <v>27459.129999999997</v>
      </c>
      <c r="AB62" s="1901">
        <f t="shared" si="52"/>
        <v>149.02300000000002</v>
      </c>
      <c r="AC62" s="720">
        <f t="shared" si="53"/>
        <v>52950.85</v>
      </c>
      <c r="AD62" s="720">
        <f t="shared" si="36"/>
        <v>167.2</v>
      </c>
      <c r="AE62" s="720">
        <f t="shared" si="55"/>
        <v>59409.5</v>
      </c>
      <c r="AF62" s="38"/>
      <c r="AG62" s="1452">
        <f t="shared" si="29"/>
        <v>18.176999999999964</v>
      </c>
      <c r="AH62" s="1453">
        <f t="shared" si="7"/>
        <v>6458.6516399999873</v>
      </c>
    </row>
    <row r="63" spans="1:34" ht="25.5" outlineLevel="1">
      <c r="A63" s="84" t="s">
        <v>57</v>
      </c>
      <c r="B63" s="728">
        <v>1107890</v>
      </c>
      <c r="C63" s="86" t="s">
        <v>191</v>
      </c>
      <c r="D63" s="81" t="s">
        <v>164</v>
      </c>
      <c r="E63" s="779">
        <v>351.92</v>
      </c>
      <c r="F63" s="780">
        <v>501.6</v>
      </c>
      <c r="G63" s="57">
        <f t="shared" si="50"/>
        <v>176523.07</v>
      </c>
      <c r="H63" s="719">
        <v>448.19800000000009</v>
      </c>
      <c r="I63" s="720">
        <f t="shared" si="51"/>
        <v>157729.84</v>
      </c>
      <c r="J63" s="720"/>
      <c r="K63" s="720">
        <f t="shared" si="12"/>
        <v>0</v>
      </c>
      <c r="L63" s="720"/>
      <c r="M63" s="720">
        <f t="shared" si="37"/>
        <v>0</v>
      </c>
      <c r="N63" s="720">
        <v>0</v>
      </c>
      <c r="O63" s="720">
        <v>0</v>
      </c>
      <c r="P63" s="720">
        <v>0</v>
      </c>
      <c r="Q63" s="720">
        <v>0</v>
      </c>
      <c r="R63" s="719">
        <v>0</v>
      </c>
      <c r="S63" s="725">
        <f t="shared" si="2"/>
        <v>0</v>
      </c>
      <c r="T63" s="720"/>
      <c r="U63" s="720"/>
      <c r="V63" s="720"/>
      <c r="W63" s="720"/>
      <c r="X63" s="720"/>
      <c r="Y63" s="720">
        <f t="shared" si="11"/>
        <v>0</v>
      </c>
      <c r="Z63" s="719">
        <f>VLOOKUP(A63,'12 - CORPO'!$A$1:$R$1841,18,FALSE)</f>
        <v>20.480000000000018</v>
      </c>
      <c r="AA63" s="725">
        <f t="shared" si="54"/>
        <v>7207.320000000007</v>
      </c>
      <c r="AB63" s="1901">
        <f t="shared" si="52"/>
        <v>468.67800000000011</v>
      </c>
      <c r="AC63" s="720">
        <f t="shared" si="53"/>
        <v>164937.16</v>
      </c>
      <c r="AD63" s="720">
        <f t="shared" si="36"/>
        <v>501.6</v>
      </c>
      <c r="AE63" s="720">
        <f t="shared" si="55"/>
        <v>176523.07</v>
      </c>
      <c r="AF63" s="38"/>
      <c r="AG63" s="1452">
        <f t="shared" si="29"/>
        <v>32.921999999999912</v>
      </c>
      <c r="AH63" s="1453">
        <f t="shared" si="7"/>
        <v>11585.91023999997</v>
      </c>
    </row>
    <row r="64" spans="1:34" outlineLevel="1">
      <c r="A64" s="84" t="s">
        <v>58</v>
      </c>
      <c r="B64" s="85">
        <v>25950</v>
      </c>
      <c r="C64" s="86" t="s">
        <v>192</v>
      </c>
      <c r="D64" s="81" t="s">
        <v>164</v>
      </c>
      <c r="E64" s="779">
        <v>38.270000000000003</v>
      </c>
      <c r="F64" s="780">
        <v>501.6</v>
      </c>
      <c r="G64" s="720">
        <f t="shared" si="50"/>
        <v>19196.23</v>
      </c>
      <c r="H64" s="719">
        <v>444.23800000000006</v>
      </c>
      <c r="I64" s="720">
        <f t="shared" si="51"/>
        <v>17000.990000000002</v>
      </c>
      <c r="J64" s="720"/>
      <c r="K64" s="720">
        <f t="shared" si="12"/>
        <v>0</v>
      </c>
      <c r="L64" s="720"/>
      <c r="M64" s="720">
        <f t="shared" si="37"/>
        <v>0</v>
      </c>
      <c r="N64" s="720">
        <v>0</v>
      </c>
      <c r="O64" s="720">
        <v>0</v>
      </c>
      <c r="P64" s="720">
        <v>0</v>
      </c>
      <c r="Q64" s="720">
        <v>0</v>
      </c>
      <c r="R64" s="719">
        <v>0</v>
      </c>
      <c r="S64" s="725">
        <f t="shared" si="2"/>
        <v>0</v>
      </c>
      <c r="T64" s="720"/>
      <c r="U64" s="720"/>
      <c r="V64" s="720"/>
      <c r="W64" s="720"/>
      <c r="X64" s="720"/>
      <c r="Y64" s="720">
        <f t="shared" si="11"/>
        <v>0</v>
      </c>
      <c r="Z64" s="719">
        <f>VLOOKUP(A64,'12 - CORPO'!$A$1:$R$1841,18,FALSE)</f>
        <v>20.480000000000018</v>
      </c>
      <c r="AA64" s="725">
        <f t="shared" si="54"/>
        <v>783.7699999999968</v>
      </c>
      <c r="AB64" s="1901">
        <f t="shared" si="52"/>
        <v>464.71800000000007</v>
      </c>
      <c r="AC64" s="720">
        <f t="shared" si="53"/>
        <v>17784.759999999998</v>
      </c>
      <c r="AD64" s="720">
        <f t="shared" si="36"/>
        <v>501.6</v>
      </c>
      <c r="AE64" s="720">
        <f t="shared" si="55"/>
        <v>19196.23</v>
      </c>
      <c r="AF64" s="38"/>
      <c r="AG64" s="1452">
        <f t="shared" si="29"/>
        <v>36.881999999999948</v>
      </c>
      <c r="AH64" s="1453">
        <f t="shared" si="7"/>
        <v>1411.4741399999982</v>
      </c>
    </row>
    <row r="65" spans="1:35" outlineLevel="1">
      <c r="A65" s="84" t="s">
        <v>59</v>
      </c>
      <c r="B65" s="85" t="s">
        <v>193</v>
      </c>
      <c r="C65" s="86" t="s">
        <v>194</v>
      </c>
      <c r="D65" s="81" t="s">
        <v>195</v>
      </c>
      <c r="E65" s="779">
        <v>22.094435631930676</v>
      </c>
      <c r="F65" s="780">
        <v>13617</v>
      </c>
      <c r="G65" s="720">
        <f t="shared" si="50"/>
        <v>300859.93</v>
      </c>
      <c r="H65" s="719">
        <v>3204</v>
      </c>
      <c r="I65" s="720">
        <f t="shared" si="51"/>
        <v>70790.570000000007</v>
      </c>
      <c r="J65" s="720"/>
      <c r="K65" s="720">
        <f t="shared" si="12"/>
        <v>0</v>
      </c>
      <c r="L65" s="720"/>
      <c r="M65" s="720">
        <f t="shared" si="37"/>
        <v>0</v>
      </c>
      <c r="N65" s="720">
        <v>0</v>
      </c>
      <c r="O65" s="720">
        <v>0</v>
      </c>
      <c r="P65" s="720">
        <v>0</v>
      </c>
      <c r="Q65" s="720">
        <v>0</v>
      </c>
      <c r="R65" s="719">
        <v>0</v>
      </c>
      <c r="S65" s="725">
        <f t="shared" si="2"/>
        <v>0</v>
      </c>
      <c r="T65" s="720"/>
      <c r="U65" s="720"/>
      <c r="V65" s="720"/>
      <c r="W65" s="720"/>
      <c r="X65" s="720"/>
      <c r="Y65" s="720">
        <f t="shared" si="11"/>
        <v>0</v>
      </c>
      <c r="Z65" s="719">
        <f>VLOOKUP(A65,'12 - CORPO'!$A$1:$R$1841,18,FALSE)</f>
        <v>0</v>
      </c>
      <c r="AA65" s="725">
        <f t="shared" si="54"/>
        <v>0</v>
      </c>
      <c r="AB65" s="1901">
        <f t="shared" si="52"/>
        <v>3204</v>
      </c>
      <c r="AC65" s="720">
        <f t="shared" si="53"/>
        <v>70790.570000000007</v>
      </c>
      <c r="AD65" s="720">
        <f t="shared" si="36"/>
        <v>13617</v>
      </c>
      <c r="AE65" s="720">
        <f t="shared" si="55"/>
        <v>300859.93</v>
      </c>
      <c r="AF65" s="38"/>
      <c r="AG65" s="1452">
        <f t="shared" si="29"/>
        <v>10413</v>
      </c>
      <c r="AH65" s="1453">
        <f t="shared" si="7"/>
        <v>230069.35823529412</v>
      </c>
    </row>
    <row r="66" spans="1:35" outlineLevel="1">
      <c r="A66" s="84" t="s">
        <v>60</v>
      </c>
      <c r="B66" s="728">
        <v>407819</v>
      </c>
      <c r="C66" s="86" t="s">
        <v>196</v>
      </c>
      <c r="D66" s="81" t="s">
        <v>195</v>
      </c>
      <c r="E66" s="779">
        <v>12.255700086310103</v>
      </c>
      <c r="F66" s="780">
        <v>35917</v>
      </c>
      <c r="G66" s="720">
        <f t="shared" si="50"/>
        <v>440187.98</v>
      </c>
      <c r="H66" s="719">
        <v>28956.885997223384</v>
      </c>
      <c r="I66" s="720">
        <f t="shared" si="51"/>
        <v>354886.91</v>
      </c>
      <c r="J66" s="720"/>
      <c r="K66" s="720">
        <f t="shared" si="12"/>
        <v>0</v>
      </c>
      <c r="L66" s="720"/>
      <c r="M66" s="720">
        <f t="shared" si="37"/>
        <v>0</v>
      </c>
      <c r="N66" s="720">
        <v>0</v>
      </c>
      <c r="O66" s="720">
        <v>0</v>
      </c>
      <c r="P66" s="720">
        <v>0</v>
      </c>
      <c r="Q66" s="720">
        <v>0</v>
      </c>
      <c r="R66" s="719">
        <v>0</v>
      </c>
      <c r="S66" s="725">
        <f t="shared" si="2"/>
        <v>0</v>
      </c>
      <c r="T66" s="720"/>
      <c r="U66" s="720"/>
      <c r="V66" s="720"/>
      <c r="W66" s="720"/>
      <c r="X66" s="720"/>
      <c r="Y66" s="720">
        <f t="shared" si="11"/>
        <v>0</v>
      </c>
      <c r="Z66" s="719">
        <f>VLOOKUP(A66,'12 - CORPO'!$A$1:$R$1841,18,FALSE)</f>
        <v>1216.1919999999991</v>
      </c>
      <c r="AA66" s="725">
        <f>AC66-I66</f>
        <v>14905.280000000028</v>
      </c>
      <c r="AB66" s="1901">
        <f t="shared" si="52"/>
        <v>30173.077997223383</v>
      </c>
      <c r="AC66" s="720">
        <f t="shared" si="53"/>
        <v>369792.19</v>
      </c>
      <c r="AD66" s="720">
        <f t="shared" si="36"/>
        <v>35917</v>
      </c>
      <c r="AE66" s="720">
        <f t="shared" si="55"/>
        <v>440187.98</v>
      </c>
      <c r="AF66" s="38"/>
      <c r="AG66" s="1452">
        <f t="shared" si="29"/>
        <v>5743.9220027766169</v>
      </c>
      <c r="AH66" s="1453">
        <f t="shared" si="7"/>
        <v>70395.78538518789</v>
      </c>
    </row>
    <row r="67" spans="1:35" ht="25.5" outlineLevel="1">
      <c r="A67" s="84" t="s">
        <v>61</v>
      </c>
      <c r="B67" s="728">
        <v>100322</v>
      </c>
      <c r="C67" s="86" t="s">
        <v>197</v>
      </c>
      <c r="D67" s="81" t="s">
        <v>164</v>
      </c>
      <c r="E67" s="779">
        <v>139.65</v>
      </c>
      <c r="F67" s="780">
        <v>1003.2</v>
      </c>
      <c r="G67" s="720">
        <f t="shared" si="50"/>
        <v>140096.88</v>
      </c>
      <c r="H67" s="719">
        <v>1002.6080000000001</v>
      </c>
      <c r="I67" s="720">
        <f t="shared" si="51"/>
        <v>140014.21</v>
      </c>
      <c r="J67" s="720"/>
      <c r="K67" s="720">
        <f t="shared" si="12"/>
        <v>0</v>
      </c>
      <c r="L67" s="720"/>
      <c r="M67" s="720">
        <f t="shared" si="37"/>
        <v>0</v>
      </c>
      <c r="N67" s="720">
        <v>0</v>
      </c>
      <c r="O67" s="720">
        <v>0</v>
      </c>
      <c r="P67" s="720">
        <v>0</v>
      </c>
      <c r="Q67" s="720">
        <v>0</v>
      </c>
      <c r="R67" s="719">
        <v>0</v>
      </c>
      <c r="S67" s="725">
        <f t="shared" si="2"/>
        <v>0</v>
      </c>
      <c r="T67" s="720"/>
      <c r="U67" s="720"/>
      <c r="V67" s="720"/>
      <c r="W67" s="720"/>
      <c r="X67" s="720"/>
      <c r="Y67" s="720">
        <f t="shared" si="11"/>
        <v>0</v>
      </c>
      <c r="Z67" s="719">
        <f>VLOOKUP(A67,'12 - CORPO'!$A$1:$R$1841,18,FALSE)</f>
        <v>0</v>
      </c>
      <c r="AA67" s="725">
        <f>AC67-I67</f>
        <v>0</v>
      </c>
      <c r="AB67" s="719">
        <f>(H67+Z67)</f>
        <v>1002.6080000000001</v>
      </c>
      <c r="AC67" s="720">
        <f t="shared" si="53"/>
        <v>140014.21</v>
      </c>
      <c r="AD67" s="720">
        <f t="shared" si="36"/>
        <v>1003.2</v>
      </c>
      <c r="AE67" s="720">
        <f t="shared" si="55"/>
        <v>140096.88</v>
      </c>
      <c r="AF67" s="38"/>
      <c r="AG67" s="1452">
        <f t="shared" si="29"/>
        <v>0.59199999999998454</v>
      </c>
      <c r="AH67" s="1453">
        <f t="shared" si="7"/>
        <v>82.672799999997849</v>
      </c>
      <c r="AI67">
        <f>3.2*122*0.5</f>
        <v>195.20000000000002</v>
      </c>
    </row>
    <row r="68" spans="1:35" outlineLevel="1">
      <c r="A68" s="84" t="s">
        <v>62</v>
      </c>
      <c r="B68" s="728">
        <v>2003864</v>
      </c>
      <c r="C68" s="86" t="s">
        <v>198</v>
      </c>
      <c r="D68" s="81" t="s">
        <v>199</v>
      </c>
      <c r="E68" s="779">
        <v>17.84</v>
      </c>
      <c r="F68" s="780">
        <v>1440</v>
      </c>
      <c r="G68" s="720">
        <f t="shared" si="50"/>
        <v>25689.599999999999</v>
      </c>
      <c r="H68" s="719">
        <v>4212</v>
      </c>
      <c r="I68" s="720">
        <f t="shared" si="51"/>
        <v>75142.080000000002</v>
      </c>
      <c r="J68" s="720">
        <v>432</v>
      </c>
      <c r="K68" s="720">
        <f t="shared" si="12"/>
        <v>7706.88</v>
      </c>
      <c r="L68" s="720">
        <v>2340</v>
      </c>
      <c r="M68" s="720">
        <f t="shared" si="37"/>
        <v>41745.599999999999</v>
      </c>
      <c r="N68" s="720">
        <v>0</v>
      </c>
      <c r="O68" s="720">
        <v>0</v>
      </c>
      <c r="P68" s="720">
        <v>0</v>
      </c>
      <c r="Q68" s="720">
        <v>0</v>
      </c>
      <c r="R68" s="1936">
        <v>0</v>
      </c>
      <c r="S68" s="725">
        <f t="shared" si="2"/>
        <v>0</v>
      </c>
      <c r="T68" s="720"/>
      <c r="U68" s="720"/>
      <c r="V68" s="720"/>
      <c r="W68" s="720"/>
      <c r="X68" s="720"/>
      <c r="Y68" s="720">
        <f t="shared" si="11"/>
        <v>0</v>
      </c>
      <c r="Z68" s="719">
        <f>VLOOKUP(A68,'12 - CORPO'!$A$1:$R$1841,18,FALSE)</f>
        <v>0</v>
      </c>
      <c r="AA68" s="725">
        <f>AC68-I68</f>
        <v>0</v>
      </c>
      <c r="AB68" s="719">
        <f t="shared" si="52"/>
        <v>4212</v>
      </c>
      <c r="AC68" s="720">
        <f t="shared" si="53"/>
        <v>75142.080000000002</v>
      </c>
      <c r="AD68" s="720">
        <f t="shared" si="36"/>
        <v>4212</v>
      </c>
      <c r="AE68" s="720">
        <f t="shared" si="55"/>
        <v>75142.080000000002</v>
      </c>
      <c r="AF68" s="38"/>
      <c r="AG68" s="1452"/>
      <c r="AH68" s="1453">
        <f t="shared" si="7"/>
        <v>0</v>
      </c>
    </row>
    <row r="69" spans="1:35" outlineLevel="1">
      <c r="A69" s="84" t="s">
        <v>63</v>
      </c>
      <c r="B69" s="85">
        <v>7060100030</v>
      </c>
      <c r="C69" s="86" t="s">
        <v>200</v>
      </c>
      <c r="D69" s="81" t="s">
        <v>156</v>
      </c>
      <c r="E69" s="779">
        <v>4249.8</v>
      </c>
      <c r="F69" s="780">
        <v>6</v>
      </c>
      <c r="G69" s="720">
        <f t="shared" si="50"/>
        <v>25498.799999999999</v>
      </c>
      <c r="H69" s="719">
        <v>0</v>
      </c>
      <c r="I69" s="720">
        <f t="shared" si="51"/>
        <v>0</v>
      </c>
      <c r="J69" s="720"/>
      <c r="K69" s="720">
        <f t="shared" si="12"/>
        <v>0</v>
      </c>
      <c r="L69" s="720"/>
      <c r="M69" s="720">
        <f t="shared" si="37"/>
        <v>0</v>
      </c>
      <c r="N69" s="720">
        <v>0</v>
      </c>
      <c r="O69" s="720">
        <v>0</v>
      </c>
      <c r="P69" s="720">
        <v>0</v>
      </c>
      <c r="Q69" s="720">
        <v>0</v>
      </c>
      <c r="R69" s="719">
        <v>0</v>
      </c>
      <c r="S69" s="725">
        <f t="shared" si="2"/>
        <v>0</v>
      </c>
      <c r="T69" s="720"/>
      <c r="U69" s="720"/>
      <c r="V69" s="720"/>
      <c r="W69" s="720"/>
      <c r="X69" s="720"/>
      <c r="Y69" s="720">
        <f t="shared" si="11"/>
        <v>0</v>
      </c>
      <c r="Z69" s="719">
        <f>VLOOKUP(A69,'12 - CORPO'!$A$1:$R$1841,18,FALSE)</f>
        <v>0</v>
      </c>
      <c r="AA69" s="725">
        <f t="shared" si="54"/>
        <v>0</v>
      </c>
      <c r="AB69" s="719">
        <f t="shared" si="52"/>
        <v>0</v>
      </c>
      <c r="AC69" s="720">
        <f t="shared" si="53"/>
        <v>0</v>
      </c>
      <c r="AD69" s="720">
        <f t="shared" si="36"/>
        <v>6</v>
      </c>
      <c r="AE69" s="720">
        <f t="shared" si="55"/>
        <v>25498.799999999999</v>
      </c>
      <c r="AF69" s="38"/>
      <c r="AG69" s="1452">
        <f t="shared" si="29"/>
        <v>6</v>
      </c>
      <c r="AH69" s="1453">
        <f t="shared" si="7"/>
        <v>25498.800000000003</v>
      </c>
    </row>
    <row r="70" spans="1:35" outlineLevel="1">
      <c r="A70" s="84" t="s">
        <v>64</v>
      </c>
      <c r="B70" s="85">
        <v>7050100030</v>
      </c>
      <c r="C70" s="86" t="s">
        <v>201</v>
      </c>
      <c r="D70" s="81" t="s">
        <v>151</v>
      </c>
      <c r="E70" s="779">
        <v>47.594014037433155</v>
      </c>
      <c r="F70" s="780">
        <v>5984</v>
      </c>
      <c r="G70" s="1178">
        <f t="shared" si="50"/>
        <v>284802.58</v>
      </c>
      <c r="H70" s="1902">
        <v>4043.6970000000001</v>
      </c>
      <c r="I70" s="78">
        <f t="shared" si="51"/>
        <v>192455.77</v>
      </c>
      <c r="J70" s="78"/>
      <c r="K70" s="78">
        <f t="shared" si="12"/>
        <v>0</v>
      </c>
      <c r="L70" s="78"/>
      <c r="M70" s="78">
        <f t="shared" si="37"/>
        <v>0</v>
      </c>
      <c r="N70" s="78">
        <v>0</v>
      </c>
      <c r="O70" s="78">
        <v>0</v>
      </c>
      <c r="P70" s="720">
        <v>0</v>
      </c>
      <c r="Q70" s="720">
        <v>0</v>
      </c>
      <c r="R70" s="719">
        <v>0</v>
      </c>
      <c r="S70" s="725">
        <f t="shared" si="2"/>
        <v>0</v>
      </c>
      <c r="T70" s="78"/>
      <c r="U70" s="78"/>
      <c r="V70" s="78"/>
      <c r="W70" s="78"/>
      <c r="X70" s="78"/>
      <c r="Y70" s="720">
        <f t="shared" si="11"/>
        <v>0</v>
      </c>
      <c r="Z70" s="1902">
        <f>VLOOKUP(A70,'12 - CORPO'!$A$1:$R$1841,18,FALSE)</f>
        <v>285.25</v>
      </c>
      <c r="AA70" s="726">
        <f t="shared" si="54"/>
        <v>13576.190000000002</v>
      </c>
      <c r="AB70" s="1902">
        <f t="shared" si="52"/>
        <v>4328.9470000000001</v>
      </c>
      <c r="AC70" s="78">
        <f t="shared" si="53"/>
        <v>206031.96</v>
      </c>
      <c r="AD70" s="720">
        <f t="shared" si="36"/>
        <v>5984</v>
      </c>
      <c r="AE70" s="78">
        <f t="shared" si="55"/>
        <v>284802.58</v>
      </c>
      <c r="AF70" s="38"/>
      <c r="AG70" s="1452">
        <f t="shared" si="29"/>
        <v>1655.0529999999999</v>
      </c>
      <c r="AH70" s="1453">
        <f t="shared" si="7"/>
        <v>78770.615714695843</v>
      </c>
    </row>
    <row r="71" spans="1:35" outlineLevel="1">
      <c r="A71" s="1904"/>
      <c r="B71" s="1904"/>
      <c r="C71" s="1937" t="s">
        <v>202</v>
      </c>
      <c r="D71" s="1904"/>
      <c r="E71" s="1904"/>
      <c r="F71" s="1904"/>
      <c r="G71" s="1938">
        <f>SUBTOTAL(9,$G$33:$G$70)</f>
        <v>7077261.8299999982</v>
      </c>
      <c r="H71" s="1938"/>
      <c r="I71" s="1938">
        <f ca="1">SUBTOTAL(9,$I$34:$I$71)</f>
        <v>1446353.2299999997</v>
      </c>
      <c r="J71" s="1938"/>
      <c r="K71" s="1938">
        <f t="shared" ref="K71:Y71" si="56">SUBTOTAL(9,$G$33:$G$70)</f>
        <v>7077261.8299999982</v>
      </c>
      <c r="L71" s="1938"/>
      <c r="M71" s="1938">
        <f t="shared" si="56"/>
        <v>7077261.8299999982</v>
      </c>
      <c r="N71" s="1938"/>
      <c r="O71" s="1938">
        <f t="shared" si="56"/>
        <v>7077261.8299999982</v>
      </c>
      <c r="P71" s="1938"/>
      <c r="Q71" s="1938">
        <f t="shared" si="56"/>
        <v>7077261.8299999982</v>
      </c>
      <c r="R71" s="1938"/>
      <c r="S71" s="1938">
        <f t="shared" si="56"/>
        <v>7077261.8299999982</v>
      </c>
      <c r="T71" s="1938"/>
      <c r="U71" s="1938">
        <f t="shared" si="56"/>
        <v>7077261.8299999982</v>
      </c>
      <c r="V71" s="1938"/>
      <c r="W71" s="1938">
        <f t="shared" si="56"/>
        <v>7077261.8299999982</v>
      </c>
      <c r="X71" s="1938"/>
      <c r="Y71" s="1938">
        <f t="shared" si="56"/>
        <v>7077261.8299999982</v>
      </c>
      <c r="Z71" s="1938"/>
      <c r="AA71" s="1938">
        <f>SUBTOTAL(9,$AA$33:$AA$70)</f>
        <v>526210.44000000006</v>
      </c>
      <c r="AB71" s="1938"/>
      <c r="AC71" s="1938">
        <f>SUBTOTAL(9,$AC$33:$AC$70)</f>
        <v>4168921.8199999994</v>
      </c>
      <c r="AD71" s="1938"/>
      <c r="AE71" s="1938">
        <f>SUBTOTAL(9,$AE$33:$AE$70)</f>
        <v>7476999.5899999999</v>
      </c>
      <c r="AF71" s="38"/>
      <c r="AG71" s="1452">
        <f t="shared" si="29"/>
        <v>0</v>
      </c>
      <c r="AH71" s="1453">
        <f t="shared" si="7"/>
        <v>0</v>
      </c>
    </row>
    <row r="72" spans="1:35" s="87" customFormat="1">
      <c r="A72" s="1939" t="s">
        <v>65</v>
      </c>
      <c r="B72" s="1940" t="s">
        <v>203</v>
      </c>
      <c r="C72" s="1941"/>
      <c r="D72" s="1941"/>
      <c r="E72" s="1941"/>
      <c r="F72" s="1942"/>
      <c r="G72" s="1943"/>
      <c r="H72" s="1943"/>
      <c r="I72" s="1943"/>
      <c r="J72" s="1943"/>
      <c r="K72" s="1943"/>
      <c r="L72" s="1943"/>
      <c r="M72" s="1943"/>
      <c r="N72" s="1943"/>
      <c r="O72" s="1943"/>
      <c r="P72" s="1943"/>
      <c r="Q72" s="1943"/>
      <c r="R72" s="1943"/>
      <c r="S72" s="1943"/>
      <c r="T72" s="1943"/>
      <c r="U72" s="1943"/>
      <c r="V72" s="1943"/>
      <c r="W72" s="1943"/>
      <c r="X72" s="1943"/>
      <c r="Y72" s="1943"/>
      <c r="Z72" s="1943"/>
      <c r="AA72" s="1943"/>
      <c r="AB72" s="1943"/>
      <c r="AC72" s="1943"/>
      <c r="AD72" s="1943"/>
      <c r="AE72" s="1943"/>
      <c r="AF72" s="38"/>
      <c r="AG72" s="1452">
        <f t="shared" si="29"/>
        <v>0</v>
      </c>
      <c r="AH72" s="1453">
        <f t="shared" si="7"/>
        <v>0</v>
      </c>
    </row>
    <row r="73" spans="1:35">
      <c r="A73" s="1944" t="s">
        <v>66</v>
      </c>
      <c r="B73" s="1891" t="s">
        <v>163</v>
      </c>
      <c r="C73" s="1904"/>
      <c r="D73" s="1904"/>
      <c r="E73" s="1904"/>
      <c r="F73" s="1905"/>
      <c r="G73" s="1894">
        <f>SUBTOTAL(9,G74:G85)</f>
        <v>1288979.0999999999</v>
      </c>
      <c r="H73" s="1894"/>
      <c r="I73" s="1894">
        <f>SUBTOTAL(9,I74:I85)</f>
        <v>909462.88</v>
      </c>
      <c r="J73" s="1894"/>
      <c r="K73" s="1894">
        <f>SUBTOTAL(9,K74:K85)</f>
        <v>3405.79</v>
      </c>
      <c r="L73" s="1894"/>
      <c r="M73" s="1894">
        <f>SUBTOTAL(9,M74:M85)</f>
        <v>173275.46</v>
      </c>
      <c r="N73" s="1894">
        <f>SUBTOTAL(9,N74:N85)</f>
        <v>2724.76</v>
      </c>
      <c r="O73" s="1894">
        <f>SUBTOTAL(9,O74:O85)</f>
        <v>124276.3</v>
      </c>
      <c r="P73" s="1894"/>
      <c r="Q73" s="1894">
        <f>SUBTOTAL(9,Q74:Q85)</f>
        <v>97894.5</v>
      </c>
      <c r="R73" s="1894"/>
      <c r="S73" s="1894">
        <f>SUBTOTAL(9,S74:S85)</f>
        <v>0</v>
      </c>
      <c r="T73" s="1894"/>
      <c r="U73" s="1894">
        <f>SUBTOTAL(9,U74:U85)</f>
        <v>0</v>
      </c>
      <c r="V73" s="1894"/>
      <c r="W73" s="1894">
        <f>SUBTOTAL(9,W74:W85)</f>
        <v>0</v>
      </c>
      <c r="X73" s="1894"/>
      <c r="Y73" s="1894">
        <f>SUBTOTAL(9,Y74:Y85)</f>
        <v>50703.990489909032</v>
      </c>
      <c r="Z73" s="1894"/>
      <c r="AA73" s="1894">
        <f>SUBTOTAL(9,AA74:AA85)</f>
        <v>-21042.119999999974</v>
      </c>
      <c r="AB73" s="1894"/>
      <c r="AC73" s="1894">
        <f>SUBTOTAL(9,AC74:AC85)</f>
        <v>888420.76</v>
      </c>
      <c r="AD73" s="1894"/>
      <c r="AE73" s="1894">
        <f>SUBTOTAL(9,AE74:AE85)</f>
        <v>1441335.42</v>
      </c>
      <c r="AF73" s="38"/>
      <c r="AG73" s="1452">
        <f t="shared" si="29"/>
        <v>0</v>
      </c>
      <c r="AH73" s="1453">
        <f t="shared" si="7"/>
        <v>0</v>
      </c>
    </row>
    <row r="74" spans="1:35" outlineLevel="1">
      <c r="A74" s="806" t="s">
        <v>67</v>
      </c>
      <c r="B74" s="1945">
        <v>4805757</v>
      </c>
      <c r="C74" s="1946" t="s">
        <v>181</v>
      </c>
      <c r="D74" s="1947" t="s">
        <v>164</v>
      </c>
      <c r="E74" s="1948">
        <v>5.5800013748677504</v>
      </c>
      <c r="F74" s="1935">
        <v>13432.1</v>
      </c>
      <c r="G74" s="57">
        <f>ROUND(E74*F74,2)</f>
        <v>74951.14</v>
      </c>
      <c r="H74" s="1897">
        <v>5760.4967500000002</v>
      </c>
      <c r="I74" s="1898">
        <f t="shared" ref="I74:I85" si="57">ROUND((E74*H74),2)</f>
        <v>32143.58</v>
      </c>
      <c r="J74" s="1898"/>
      <c r="K74" s="1898">
        <f t="shared" si="12"/>
        <v>0</v>
      </c>
      <c r="L74" s="1898"/>
      <c r="M74" s="1898">
        <f t="shared" si="37"/>
        <v>0</v>
      </c>
      <c r="N74" s="1898"/>
      <c r="O74" s="1898">
        <v>0</v>
      </c>
      <c r="P74" s="720"/>
      <c r="Q74" s="720">
        <v>0</v>
      </c>
      <c r="R74" s="725"/>
      <c r="S74" s="725">
        <f t="shared" si="2"/>
        <v>0</v>
      </c>
      <c r="T74" s="1898"/>
      <c r="U74" s="1898"/>
      <c r="V74" s="1898"/>
      <c r="W74" s="1898"/>
      <c r="X74" s="1898">
        <v>7467.89</v>
      </c>
      <c r="Y74" s="720">
        <f t="shared" si="11"/>
        <v>41670.836467361129</v>
      </c>
      <c r="Z74" s="719">
        <f>VLOOKUP(A74,'12 - CORPO'!$A$1:$R$1841,18,FALSE)</f>
        <v>0</v>
      </c>
      <c r="AA74" s="1896">
        <f t="shared" ref="AA74:AA80" si="58">AC74-I74</f>
        <v>0</v>
      </c>
      <c r="AB74" s="1900">
        <f t="shared" ref="AB74:AB84" si="59">(H74+Z74)</f>
        <v>5760.4967500000002</v>
      </c>
      <c r="AC74" s="1898">
        <f t="shared" ref="AC74:AC85" si="60">ROUND((E74*AB74),2)</f>
        <v>32143.58</v>
      </c>
      <c r="AD74" s="720">
        <f t="shared" si="36"/>
        <v>5964.21</v>
      </c>
      <c r="AE74" s="1898">
        <f t="shared" ref="AE74:AE85" si="61">ROUND((E74*AD74),2)</f>
        <v>33280.300000000003</v>
      </c>
      <c r="AF74" s="38"/>
      <c r="AG74" s="1452">
        <f t="shared" si="29"/>
        <v>203.71324999999979</v>
      </c>
      <c r="AH74" s="1453">
        <f t="shared" si="7"/>
        <v>1136.7202150787766</v>
      </c>
    </row>
    <row r="75" spans="1:35" outlineLevel="1">
      <c r="A75" s="58" t="s">
        <v>68</v>
      </c>
      <c r="B75" s="728">
        <v>5503041</v>
      </c>
      <c r="C75" s="86" t="s">
        <v>204</v>
      </c>
      <c r="D75" s="81" t="s">
        <v>164</v>
      </c>
      <c r="E75" s="82">
        <v>7.2699038447551025</v>
      </c>
      <c r="F75" s="83">
        <v>2062.29</v>
      </c>
      <c r="G75" s="57">
        <f t="shared" ref="G75:G85" si="62">ROUND(E75*F75,2)</f>
        <v>14992.65</v>
      </c>
      <c r="H75" s="1901">
        <v>76.846350000000001</v>
      </c>
      <c r="I75" s="80">
        <f t="shared" si="57"/>
        <v>558.66999999999996</v>
      </c>
      <c r="J75" s="80"/>
      <c r="K75" s="720">
        <f t="shared" si="12"/>
        <v>0</v>
      </c>
      <c r="L75" s="720"/>
      <c r="M75" s="720">
        <f t="shared" si="37"/>
        <v>0</v>
      </c>
      <c r="N75" s="720">
        <v>0</v>
      </c>
      <c r="O75" s="720">
        <v>0</v>
      </c>
      <c r="P75" s="720">
        <v>0</v>
      </c>
      <c r="Q75" s="720">
        <v>0</v>
      </c>
      <c r="R75" s="725">
        <v>0</v>
      </c>
      <c r="S75" s="725">
        <f t="shared" si="2"/>
        <v>0</v>
      </c>
      <c r="T75" s="80"/>
      <c r="U75" s="80"/>
      <c r="V75" s="80"/>
      <c r="W75" s="80"/>
      <c r="X75" s="80"/>
      <c r="Y75" s="720">
        <f t="shared" si="11"/>
        <v>0</v>
      </c>
      <c r="Z75" s="719">
        <f>VLOOKUP(A75,'12 - CORPO'!$A$1:$R$1841,18,FALSE)</f>
        <v>0</v>
      </c>
      <c r="AA75" s="71">
        <f t="shared" si="58"/>
        <v>0</v>
      </c>
      <c r="AB75" s="1901">
        <f t="shared" si="59"/>
        <v>76.846350000000001</v>
      </c>
      <c r="AC75" s="80">
        <f t="shared" si="60"/>
        <v>558.66999999999996</v>
      </c>
      <c r="AD75" s="720">
        <f t="shared" si="36"/>
        <v>2062.29</v>
      </c>
      <c r="AE75" s="80">
        <f t="shared" si="61"/>
        <v>14992.65</v>
      </c>
      <c r="AF75" s="38"/>
      <c r="AG75" s="1452">
        <f t="shared" si="29"/>
        <v>1985.4436499999999</v>
      </c>
      <c r="AH75" s="1453">
        <f t="shared" si="7"/>
        <v>14433.984424679604</v>
      </c>
    </row>
    <row r="76" spans="1:35" ht="38.25" outlineLevel="1">
      <c r="A76" s="88" t="s">
        <v>69</v>
      </c>
      <c r="B76" s="727">
        <v>94340</v>
      </c>
      <c r="C76" s="1331" t="s">
        <v>205</v>
      </c>
      <c r="D76" s="68" t="s">
        <v>164</v>
      </c>
      <c r="E76" s="71">
        <v>87.2484694796741</v>
      </c>
      <c r="F76" s="60">
        <v>2077.81</v>
      </c>
      <c r="G76" s="80">
        <f t="shared" si="62"/>
        <v>181285.74</v>
      </c>
      <c r="H76" s="1901">
        <v>2927.6064000000001</v>
      </c>
      <c r="I76" s="80">
        <f t="shared" si="57"/>
        <v>255429.18</v>
      </c>
      <c r="J76" s="80"/>
      <c r="K76" s="720">
        <f t="shared" si="12"/>
        <v>0</v>
      </c>
      <c r="L76" s="720">
        <v>1986</v>
      </c>
      <c r="M76" s="720">
        <f t="shared" si="37"/>
        <v>173275.46</v>
      </c>
      <c r="N76" s="720">
        <v>0</v>
      </c>
      <c r="O76" s="720">
        <v>0</v>
      </c>
      <c r="P76" s="1949">
        <v>1122</v>
      </c>
      <c r="Q76" s="1949">
        <v>97894.5</v>
      </c>
      <c r="R76" s="725"/>
      <c r="S76" s="725"/>
      <c r="T76" s="80"/>
      <c r="U76" s="80"/>
      <c r="V76" s="80"/>
      <c r="W76" s="80"/>
      <c r="X76" s="80"/>
      <c r="Y76" s="720">
        <f t="shared" si="11"/>
        <v>0</v>
      </c>
      <c r="Z76" s="719">
        <f>VLOOKUP(A76,'12 - CORPO'!$A$1:$R$1841,18,FALSE)</f>
        <v>0</v>
      </c>
      <c r="AA76" s="71">
        <f t="shared" si="58"/>
        <v>0</v>
      </c>
      <c r="AB76" s="1901">
        <f t="shared" si="59"/>
        <v>2927.6064000000001</v>
      </c>
      <c r="AC76" s="80">
        <f t="shared" si="60"/>
        <v>255429.18</v>
      </c>
      <c r="AD76" s="720">
        <f t="shared" si="36"/>
        <v>2941.81</v>
      </c>
      <c r="AE76" s="80">
        <f t="shared" si="61"/>
        <v>256668.42</v>
      </c>
      <c r="AF76" s="38"/>
      <c r="AG76" s="1452">
        <f t="shared" si="29"/>
        <v>14.203599999999824</v>
      </c>
      <c r="AH76" s="1453">
        <f t="shared" si="7"/>
        <v>1239.2423611014838</v>
      </c>
    </row>
    <row r="77" spans="1:35" ht="16.5" customHeight="1" outlineLevel="1">
      <c r="A77" s="58" t="s">
        <v>70</v>
      </c>
      <c r="B77" s="728">
        <v>42045</v>
      </c>
      <c r="C77" s="86" t="s">
        <v>206</v>
      </c>
      <c r="D77" s="81" t="s">
        <v>164</v>
      </c>
      <c r="E77" s="82">
        <v>11.61</v>
      </c>
      <c r="F77" s="83">
        <v>2062.29</v>
      </c>
      <c r="G77" s="57">
        <f t="shared" si="62"/>
        <v>23943.19</v>
      </c>
      <c r="H77" s="1901">
        <v>192.84635</v>
      </c>
      <c r="I77" s="80">
        <f t="shared" si="57"/>
        <v>2238.9499999999998</v>
      </c>
      <c r="J77" s="80">
        <v>293.34999999999991</v>
      </c>
      <c r="K77" s="720">
        <f t="shared" si="12"/>
        <v>3405.79</v>
      </c>
      <c r="L77" s="1950"/>
      <c r="M77" s="720">
        <f t="shared" si="37"/>
        <v>0</v>
      </c>
      <c r="N77" s="720">
        <v>0</v>
      </c>
      <c r="O77" s="720">
        <v>0</v>
      </c>
      <c r="P77" s="720"/>
      <c r="Q77" s="720">
        <v>0</v>
      </c>
      <c r="R77" s="725"/>
      <c r="S77" s="725">
        <f t="shared" si="2"/>
        <v>0</v>
      </c>
      <c r="T77" s="80"/>
      <c r="U77" s="80"/>
      <c r="V77" s="80"/>
      <c r="W77" s="80"/>
      <c r="X77" s="80"/>
      <c r="Y77" s="720">
        <f t="shared" si="11"/>
        <v>0</v>
      </c>
      <c r="Z77" s="719">
        <f>VLOOKUP(A77,'12 - CORPO'!$A$1:$R$1841,18,FALSE)</f>
        <v>0</v>
      </c>
      <c r="AA77" s="71">
        <f t="shared" si="58"/>
        <v>0</v>
      </c>
      <c r="AB77" s="1901">
        <f t="shared" si="59"/>
        <v>192.84635</v>
      </c>
      <c r="AC77" s="80">
        <f t="shared" si="60"/>
        <v>2238.9499999999998</v>
      </c>
      <c r="AD77" s="720">
        <f t="shared" si="36"/>
        <v>2355.64</v>
      </c>
      <c r="AE77" s="80">
        <f t="shared" si="61"/>
        <v>27348.98</v>
      </c>
      <c r="AF77" s="38"/>
      <c r="AG77" s="1452">
        <f t="shared" si="29"/>
        <v>2162.7936500000001</v>
      </c>
      <c r="AH77" s="1453">
        <f t="shared" si="7"/>
        <v>25110.034276499999</v>
      </c>
    </row>
    <row r="78" spans="1:35" outlineLevel="1">
      <c r="A78" s="58" t="s">
        <v>71</v>
      </c>
      <c r="B78" s="728">
        <v>5914336</v>
      </c>
      <c r="C78" s="86" t="s">
        <v>207</v>
      </c>
      <c r="D78" s="81" t="s">
        <v>166</v>
      </c>
      <c r="E78" s="779">
        <v>0.64000014329778354</v>
      </c>
      <c r="F78" s="780">
        <v>50402.37</v>
      </c>
      <c r="G78" s="57">
        <f t="shared" si="62"/>
        <v>32257.52</v>
      </c>
      <c r="H78" s="719">
        <v>25692.494349999997</v>
      </c>
      <c r="I78" s="720">
        <f t="shared" si="57"/>
        <v>16443.2</v>
      </c>
      <c r="J78" s="720"/>
      <c r="K78" s="720">
        <f t="shared" si="12"/>
        <v>0</v>
      </c>
      <c r="L78" s="720"/>
      <c r="M78" s="720">
        <f t="shared" si="37"/>
        <v>0</v>
      </c>
      <c r="N78" s="720">
        <v>0</v>
      </c>
      <c r="O78" s="720">
        <v>0</v>
      </c>
      <c r="P78" s="720"/>
      <c r="Q78" s="720">
        <v>0</v>
      </c>
      <c r="R78" s="725"/>
      <c r="S78" s="725">
        <f t="shared" si="2"/>
        <v>0</v>
      </c>
      <c r="T78" s="720"/>
      <c r="U78" s="720"/>
      <c r="V78" s="720"/>
      <c r="W78" s="720"/>
      <c r="X78" s="720">
        <v>14114.3</v>
      </c>
      <c r="Y78" s="720">
        <f t="shared" si="11"/>
        <v>9033.1540225479057</v>
      </c>
      <c r="Z78" s="719">
        <f>VLOOKUP(A78,'12 - CORPO'!$A$1:$R$1841,18,FALSE)</f>
        <v>3352.2489999999998</v>
      </c>
      <c r="AA78" s="725">
        <f t="shared" si="58"/>
        <v>2145.4399999999987</v>
      </c>
      <c r="AB78" s="1901">
        <f t="shared" si="59"/>
        <v>29044.743349999997</v>
      </c>
      <c r="AC78" s="720">
        <f t="shared" si="60"/>
        <v>18588.64</v>
      </c>
      <c r="AD78" s="720">
        <f t="shared" si="36"/>
        <v>36288.070000000007</v>
      </c>
      <c r="AE78" s="720">
        <f t="shared" si="61"/>
        <v>23224.37</v>
      </c>
      <c r="AF78" s="38"/>
      <c r="AG78" s="1452">
        <f t="shared" si="29"/>
        <v>7243.32665000001</v>
      </c>
      <c r="AH78" s="1453">
        <f t="shared" si="7"/>
        <v>4635.7300939526604</v>
      </c>
    </row>
    <row r="79" spans="1:35" ht="25.5" outlineLevel="1">
      <c r="A79" s="58" t="s">
        <v>72</v>
      </c>
      <c r="B79" s="727">
        <v>60024</v>
      </c>
      <c r="C79" s="59" t="s">
        <v>208</v>
      </c>
      <c r="D79" s="81" t="s">
        <v>168</v>
      </c>
      <c r="E79" s="82">
        <v>12.13</v>
      </c>
      <c r="F79" s="83">
        <v>2680.98</v>
      </c>
      <c r="G79" s="57">
        <f t="shared" si="62"/>
        <v>32520.29</v>
      </c>
      <c r="H79" s="1901">
        <v>308.55416000000002</v>
      </c>
      <c r="I79" s="80">
        <f t="shared" si="57"/>
        <v>3742.76</v>
      </c>
      <c r="J79" s="80"/>
      <c r="K79" s="720">
        <f t="shared" si="12"/>
        <v>0</v>
      </c>
      <c r="L79" s="720"/>
      <c r="M79" s="720">
        <f t="shared" si="37"/>
        <v>0</v>
      </c>
      <c r="N79" s="720">
        <v>0</v>
      </c>
      <c r="O79" s="720">
        <v>0</v>
      </c>
      <c r="P79" s="720"/>
      <c r="Q79" s="720">
        <v>0</v>
      </c>
      <c r="R79" s="725"/>
      <c r="S79" s="725">
        <f t="shared" si="2"/>
        <v>0</v>
      </c>
      <c r="T79" s="80"/>
      <c r="U79" s="80"/>
      <c r="V79" s="80"/>
      <c r="W79" s="80"/>
      <c r="X79" s="80"/>
      <c r="Y79" s="720">
        <f t="shared" si="11"/>
        <v>0</v>
      </c>
      <c r="Z79" s="719">
        <f>VLOOKUP(A79,'12 - CORPO'!$A$1:$R$1841,18,FALSE)</f>
        <v>68.816000000000031</v>
      </c>
      <c r="AA79" s="71">
        <f t="shared" si="58"/>
        <v>834.73999999999978</v>
      </c>
      <c r="AB79" s="1901">
        <f t="shared" si="59"/>
        <v>377.37016000000006</v>
      </c>
      <c r="AC79" s="80">
        <f t="shared" si="60"/>
        <v>4577.5</v>
      </c>
      <c r="AD79" s="720">
        <f t="shared" si="36"/>
        <v>2680.98</v>
      </c>
      <c r="AE79" s="80">
        <f t="shared" si="61"/>
        <v>32520.29</v>
      </c>
      <c r="AF79" s="38"/>
      <c r="AG79" s="1452">
        <f t="shared" si="29"/>
        <v>2303.6098400000001</v>
      </c>
      <c r="AH79" s="1453">
        <f t="shared" si="7"/>
        <v>27942.787359200003</v>
      </c>
    </row>
    <row r="80" spans="1:35" ht="26.25" customHeight="1" outlineLevel="1">
      <c r="A80" s="1930" t="s">
        <v>73</v>
      </c>
      <c r="B80" s="1951">
        <v>645387</v>
      </c>
      <c r="C80" s="1952" t="s">
        <v>209</v>
      </c>
      <c r="D80" s="81" t="s">
        <v>168</v>
      </c>
      <c r="E80" s="82">
        <v>82.61</v>
      </c>
      <c r="F80" s="83">
        <v>2619.2800000000002</v>
      </c>
      <c r="G80" s="80">
        <f t="shared" si="62"/>
        <v>216378.72</v>
      </c>
      <c r="H80" s="1901">
        <v>0</v>
      </c>
      <c r="I80" s="80">
        <f t="shared" si="57"/>
        <v>0</v>
      </c>
      <c r="J80" s="80"/>
      <c r="K80" s="720">
        <f t="shared" si="12"/>
        <v>0</v>
      </c>
      <c r="L80" s="720"/>
      <c r="M80" s="720">
        <f t="shared" si="37"/>
        <v>0</v>
      </c>
      <c r="N80" s="720">
        <v>0</v>
      </c>
      <c r="O80" s="720">
        <v>0</v>
      </c>
      <c r="P80" s="720"/>
      <c r="Q80" s="720">
        <v>0</v>
      </c>
      <c r="R80" s="725"/>
      <c r="S80" s="725">
        <f t="shared" si="2"/>
        <v>0</v>
      </c>
      <c r="T80" s="80"/>
      <c r="U80" s="80"/>
      <c r="V80" s="80"/>
      <c r="W80" s="80"/>
      <c r="X80" s="80"/>
      <c r="Y80" s="720">
        <f t="shared" si="11"/>
        <v>0</v>
      </c>
      <c r="Z80" s="719">
        <f>VLOOKUP(A80,'12 - CORPO'!$A$1:$R$1841,18,FALSE)</f>
        <v>0</v>
      </c>
      <c r="AA80" s="71">
        <f t="shared" si="58"/>
        <v>0</v>
      </c>
      <c r="AB80" s="1901">
        <f t="shared" si="59"/>
        <v>0</v>
      </c>
      <c r="AC80" s="80">
        <f t="shared" si="60"/>
        <v>0</v>
      </c>
      <c r="AD80" s="720">
        <f t="shared" si="36"/>
        <v>2619.2800000000002</v>
      </c>
      <c r="AE80" s="80">
        <f t="shared" si="61"/>
        <v>216378.72</v>
      </c>
      <c r="AF80" s="38"/>
      <c r="AG80" s="1452">
        <f t="shared" si="29"/>
        <v>2619.2800000000002</v>
      </c>
      <c r="AH80" s="1453">
        <f t="shared" si="7"/>
        <v>216378.72080000001</v>
      </c>
    </row>
    <row r="81" spans="1:36" ht="24.75" customHeight="1" outlineLevel="1">
      <c r="A81" s="84" t="s">
        <v>74</v>
      </c>
      <c r="B81" s="728">
        <v>4011549</v>
      </c>
      <c r="C81" s="86" t="s">
        <v>210</v>
      </c>
      <c r="D81" s="81" t="s">
        <v>164</v>
      </c>
      <c r="E81" s="82">
        <v>162.21</v>
      </c>
      <c r="F81" s="83">
        <v>132.97999999999999</v>
      </c>
      <c r="G81" s="57">
        <f t="shared" si="62"/>
        <v>21570.69</v>
      </c>
      <c r="H81" s="1901">
        <v>93.788562500000012</v>
      </c>
      <c r="I81" s="80">
        <f t="shared" si="57"/>
        <v>15213.44</v>
      </c>
      <c r="J81" s="80"/>
      <c r="K81" s="720">
        <f t="shared" si="12"/>
        <v>0</v>
      </c>
      <c r="L81" s="720"/>
      <c r="M81" s="720">
        <f t="shared" si="37"/>
        <v>0</v>
      </c>
      <c r="N81" s="720">
        <v>0</v>
      </c>
      <c r="O81" s="720">
        <v>0</v>
      </c>
      <c r="P81" s="720"/>
      <c r="Q81" s="720">
        <v>0</v>
      </c>
      <c r="R81" s="725"/>
      <c r="S81" s="725">
        <f t="shared" ref="S81:S120" si="63">E81*R81</f>
        <v>0</v>
      </c>
      <c r="T81" s="80"/>
      <c r="U81" s="80"/>
      <c r="V81" s="80"/>
      <c r="W81" s="80"/>
      <c r="X81" s="80"/>
      <c r="Y81" s="720">
        <f t="shared" si="11"/>
        <v>0</v>
      </c>
      <c r="Z81" s="719">
        <f>VLOOKUP(A81,'12 - CORPO'!$A$1:$R$1841,18,FALSE)</f>
        <v>30.36</v>
      </c>
      <c r="AA81" s="71">
        <f>AC81-I81</f>
        <v>4924.6999999999989</v>
      </c>
      <c r="AB81" s="1901">
        <f>(H81+Z81)</f>
        <v>124.14856250000001</v>
      </c>
      <c r="AC81" s="80">
        <f t="shared" si="60"/>
        <v>20138.14</v>
      </c>
      <c r="AD81" s="720">
        <f t="shared" si="36"/>
        <v>132.97999999999999</v>
      </c>
      <c r="AE81" s="80">
        <f t="shared" si="61"/>
        <v>21570.69</v>
      </c>
      <c r="AF81" s="38"/>
      <c r="AG81" s="1452">
        <f t="shared" si="29"/>
        <v>8.8314374999999785</v>
      </c>
      <c r="AH81" s="1453">
        <f t="shared" ref="AH81:AH144" si="64">AG81*E81</f>
        <v>1432.5474768749966</v>
      </c>
    </row>
    <row r="82" spans="1:36" ht="25.5" outlineLevel="1">
      <c r="A82" s="84" t="s">
        <v>75</v>
      </c>
      <c r="B82" s="728">
        <v>95995</v>
      </c>
      <c r="C82" s="86" t="s">
        <v>211</v>
      </c>
      <c r="D82" s="81" t="s">
        <v>164</v>
      </c>
      <c r="E82" s="82">
        <v>1838.52</v>
      </c>
      <c r="F82" s="83">
        <v>68.72</v>
      </c>
      <c r="G82" s="80">
        <f t="shared" si="62"/>
        <v>126343.09</v>
      </c>
      <c r="H82" s="1901">
        <v>0</v>
      </c>
      <c r="I82" s="80">
        <f t="shared" si="57"/>
        <v>0</v>
      </c>
      <c r="J82" s="80"/>
      <c r="K82" s="720">
        <f t="shared" si="12"/>
        <v>0</v>
      </c>
      <c r="L82" s="720"/>
      <c r="M82" s="720">
        <f t="shared" si="37"/>
        <v>0</v>
      </c>
      <c r="N82" s="720">
        <v>0</v>
      </c>
      <c r="O82" s="720">
        <v>0</v>
      </c>
      <c r="P82" s="720"/>
      <c r="Q82" s="720">
        <v>0</v>
      </c>
      <c r="R82" s="725"/>
      <c r="S82" s="725">
        <f t="shared" si="63"/>
        <v>0</v>
      </c>
      <c r="T82" s="80"/>
      <c r="U82" s="80"/>
      <c r="V82" s="80"/>
      <c r="W82" s="80"/>
      <c r="X82" s="80"/>
      <c r="Y82" s="720">
        <f t="shared" si="11"/>
        <v>0</v>
      </c>
      <c r="Z82" s="719">
        <f>VLOOKUP(A82,'12 - CORPO'!$A$1:$R$1841,18,FALSE)</f>
        <v>17.204000000000001</v>
      </c>
      <c r="AA82" s="71">
        <f>AC82-I82</f>
        <v>31629.9</v>
      </c>
      <c r="AB82" s="1901">
        <f t="shared" si="59"/>
        <v>17.204000000000001</v>
      </c>
      <c r="AC82" s="80">
        <f t="shared" si="60"/>
        <v>31629.9</v>
      </c>
      <c r="AD82" s="720">
        <f t="shared" si="36"/>
        <v>68.72</v>
      </c>
      <c r="AE82" s="80">
        <f t="shared" si="61"/>
        <v>126343.09</v>
      </c>
      <c r="AF82" s="38"/>
      <c r="AG82" s="1452">
        <f t="shared" si="29"/>
        <v>51.515999999999998</v>
      </c>
      <c r="AH82" s="1453">
        <f t="shared" si="64"/>
        <v>94713.196320000003</v>
      </c>
    </row>
    <row r="83" spans="1:36" outlineLevel="1">
      <c r="A83" s="84" t="s">
        <v>76</v>
      </c>
      <c r="B83" s="728">
        <v>4011352</v>
      </c>
      <c r="C83" s="86" t="s">
        <v>212</v>
      </c>
      <c r="D83" s="81" t="s">
        <v>151</v>
      </c>
      <c r="E83" s="82">
        <v>0.38</v>
      </c>
      <c r="F83" s="83">
        <v>1374.44</v>
      </c>
      <c r="G83" s="57">
        <f t="shared" si="62"/>
        <v>522.29</v>
      </c>
      <c r="H83" s="1901">
        <v>0</v>
      </c>
      <c r="I83" s="80">
        <f t="shared" si="57"/>
        <v>0</v>
      </c>
      <c r="J83" s="80"/>
      <c r="K83" s="720">
        <f t="shared" si="12"/>
        <v>0</v>
      </c>
      <c r="L83" s="720"/>
      <c r="M83" s="720">
        <f t="shared" si="37"/>
        <v>0</v>
      </c>
      <c r="N83" s="720">
        <v>0</v>
      </c>
      <c r="O83" s="720">
        <v>0</v>
      </c>
      <c r="P83" s="720"/>
      <c r="Q83" s="720">
        <v>0</v>
      </c>
      <c r="R83" s="725"/>
      <c r="S83" s="725">
        <f t="shared" si="63"/>
        <v>0</v>
      </c>
      <c r="T83" s="80"/>
      <c r="U83" s="80"/>
      <c r="V83" s="80"/>
      <c r="W83" s="80"/>
      <c r="X83" s="80"/>
      <c r="Y83" s="720">
        <f t="shared" ref="Y83:Y147" si="65">X83*E83</f>
        <v>0</v>
      </c>
      <c r="Z83" s="719">
        <f>VLOOKUP(A83,'12 - CORPO'!$A$1:$R$1841,18,FALSE)</f>
        <v>202.39999999999998</v>
      </c>
      <c r="AA83" s="71">
        <f>AC83-I83</f>
        <v>76.91</v>
      </c>
      <c r="AB83" s="1901">
        <f t="shared" si="59"/>
        <v>202.39999999999998</v>
      </c>
      <c r="AC83" s="80">
        <f t="shared" si="60"/>
        <v>76.91</v>
      </c>
      <c r="AD83" s="720">
        <f t="shared" si="36"/>
        <v>1374.44</v>
      </c>
      <c r="AE83" s="80">
        <f t="shared" si="61"/>
        <v>522.29</v>
      </c>
      <c r="AF83" s="38"/>
      <c r="AG83" s="1452">
        <f t="shared" si="29"/>
        <v>1172.04</v>
      </c>
      <c r="AH83" s="1453">
        <f t="shared" si="64"/>
        <v>445.37520000000001</v>
      </c>
    </row>
    <row r="84" spans="1:36" outlineLevel="1">
      <c r="A84" s="84" t="s">
        <v>77</v>
      </c>
      <c r="B84" s="728">
        <v>101196</v>
      </c>
      <c r="C84" s="86" t="s">
        <v>213</v>
      </c>
      <c r="D84" s="81" t="s">
        <v>214</v>
      </c>
      <c r="E84" s="82">
        <v>2776.33</v>
      </c>
      <c r="F84" s="83">
        <v>1.1000000000000001</v>
      </c>
      <c r="G84" s="80">
        <f t="shared" si="62"/>
        <v>3053.96</v>
      </c>
      <c r="H84" s="1901">
        <v>0</v>
      </c>
      <c r="I84" s="80">
        <f t="shared" si="57"/>
        <v>0</v>
      </c>
      <c r="J84" s="80"/>
      <c r="K84" s="720">
        <f t="shared" si="12"/>
        <v>0</v>
      </c>
      <c r="L84" s="720"/>
      <c r="M84" s="720">
        <f t="shared" si="37"/>
        <v>0</v>
      </c>
      <c r="N84" s="720">
        <v>0</v>
      </c>
      <c r="O84" s="720">
        <v>0</v>
      </c>
      <c r="P84" s="720"/>
      <c r="Q84" s="720">
        <v>0</v>
      </c>
      <c r="R84" s="719"/>
      <c r="S84" s="725">
        <f t="shared" si="63"/>
        <v>0</v>
      </c>
      <c r="T84" s="80"/>
      <c r="U84" s="80"/>
      <c r="V84" s="80"/>
      <c r="W84" s="80"/>
      <c r="X84" s="80"/>
      <c r="Y84" s="720">
        <f t="shared" si="65"/>
        <v>0</v>
      </c>
      <c r="Z84" s="719">
        <f>VLOOKUP(A84,'12 - CORPO'!$A$1:$R$1841,18,FALSE)</f>
        <v>0.16191999999999998</v>
      </c>
      <c r="AA84" s="71">
        <f>AC84-I84</f>
        <v>449.54</v>
      </c>
      <c r="AB84" s="1901">
        <f t="shared" si="59"/>
        <v>0.16191999999999998</v>
      </c>
      <c r="AC84" s="80">
        <f t="shared" si="60"/>
        <v>449.54</v>
      </c>
      <c r="AD84" s="720">
        <f t="shared" si="36"/>
        <v>1.1000000000000001</v>
      </c>
      <c r="AE84" s="80">
        <f t="shared" si="61"/>
        <v>3053.96</v>
      </c>
      <c r="AF84" s="38"/>
      <c r="AG84" s="1452">
        <f t="shared" si="29"/>
        <v>0.93808000000000014</v>
      </c>
      <c r="AH84" s="1453">
        <f t="shared" si="64"/>
        <v>2604.4196464000001</v>
      </c>
    </row>
    <row r="85" spans="1:36" ht="25.5" outlineLevel="1">
      <c r="A85" s="84" t="s">
        <v>78</v>
      </c>
      <c r="B85" s="85">
        <v>30304</v>
      </c>
      <c r="C85" s="1332" t="s">
        <v>169</v>
      </c>
      <c r="D85" s="81" t="s">
        <v>164</v>
      </c>
      <c r="E85" s="779">
        <v>45.608362433327308</v>
      </c>
      <c r="F85" s="780">
        <v>12303.88</v>
      </c>
      <c r="G85" s="1953">
        <f t="shared" si="62"/>
        <v>561159.81999999995</v>
      </c>
      <c r="H85" s="1911">
        <v>12797.940228070176</v>
      </c>
      <c r="I85" s="1178">
        <f t="shared" si="57"/>
        <v>583693.1</v>
      </c>
      <c r="J85" s="1178"/>
      <c r="K85" s="1178">
        <f t="shared" si="12"/>
        <v>0</v>
      </c>
      <c r="L85" s="78"/>
      <c r="M85" s="78">
        <f t="shared" si="37"/>
        <v>0</v>
      </c>
      <c r="N85" s="78">
        <v>2724.76</v>
      </c>
      <c r="O85" s="78">
        <v>124276.3</v>
      </c>
      <c r="P85" s="1178"/>
      <c r="Q85" s="1178">
        <v>0</v>
      </c>
      <c r="R85" s="1911"/>
      <c r="S85" s="779">
        <f t="shared" si="63"/>
        <v>0</v>
      </c>
      <c r="T85" s="1178"/>
      <c r="U85" s="1178"/>
      <c r="V85" s="1178"/>
      <c r="W85" s="1178"/>
      <c r="X85" s="1178"/>
      <c r="Y85" s="1178">
        <f t="shared" si="65"/>
        <v>0</v>
      </c>
      <c r="Z85" s="719">
        <f>VLOOKUP(A85,'12 - CORPO'!$A$1:$R$1841,18,FALSE)</f>
        <v>-1339.7399999999998</v>
      </c>
      <c r="AA85" s="725">
        <f>AC85-I85</f>
        <v>-61103.349999999977</v>
      </c>
      <c r="AB85" s="1911">
        <f>(H85+Z85)</f>
        <v>11458.200228070176</v>
      </c>
      <c r="AC85" s="1178">
        <f t="shared" si="60"/>
        <v>522589.75</v>
      </c>
      <c r="AD85" s="720">
        <f>ROUND((F85+J85+R85+L85+T85+N85),5)-X85-P85</f>
        <v>15028.64</v>
      </c>
      <c r="AE85" s="78">
        <f t="shared" si="61"/>
        <v>685431.66</v>
      </c>
      <c r="AF85" s="38"/>
      <c r="AG85" s="1452">
        <f>AD85-AB85</f>
        <v>3570.4397719298231</v>
      </c>
      <c r="AH85" s="1453">
        <f t="shared" si="64"/>
        <v>162841.91116454187</v>
      </c>
      <c r="AJ85">
        <f>AJ83-AG84</f>
        <v>-0.93808000000000014</v>
      </c>
    </row>
    <row r="86" spans="1:36" s="55" customFormat="1">
      <c r="A86" s="1890" t="s">
        <v>79</v>
      </c>
      <c r="B86" s="1891" t="s">
        <v>170</v>
      </c>
      <c r="C86" s="1904"/>
      <c r="D86" s="1904"/>
      <c r="E86" s="1904"/>
      <c r="F86" s="1905"/>
      <c r="G86" s="1894">
        <f>SUBTOTAL(9,G87:G90)</f>
        <v>12361.929999999998</v>
      </c>
      <c r="H86" s="1904"/>
      <c r="I86" s="1894">
        <f>SUBTOTAL(9,I87:I90)</f>
        <v>11328.81</v>
      </c>
      <c r="J86" s="1894"/>
      <c r="K86" s="1894"/>
      <c r="L86" s="1894"/>
      <c r="M86" s="1894"/>
      <c r="N86" s="1894"/>
      <c r="O86" s="1894"/>
      <c r="P86" s="1894"/>
      <c r="Q86" s="1894"/>
      <c r="R86" s="1894"/>
      <c r="S86" s="1894"/>
      <c r="T86" s="1894"/>
      <c r="U86" s="1894"/>
      <c r="V86" s="1894"/>
      <c r="W86" s="1894"/>
      <c r="X86" s="1894"/>
      <c r="Y86" s="1918">
        <f t="shared" si="65"/>
        <v>0</v>
      </c>
      <c r="Z86" s="1904"/>
      <c r="AA86" s="1894">
        <f>SUBTOTAL(9,AA87:AA90)</f>
        <v>0</v>
      </c>
      <c r="AB86" s="1894"/>
      <c r="AC86" s="1894">
        <f>SUBTOTAL(9,AC87:AC90)</f>
        <v>11328.81</v>
      </c>
      <c r="AD86" s="1894"/>
      <c r="AE86" s="1894">
        <f t="shared" ref="AE86" si="66">SUBTOTAL(9,AE87:AE90)</f>
        <v>20274.729999999996</v>
      </c>
      <c r="AF86" s="38"/>
      <c r="AG86" s="1452">
        <f t="shared" si="29"/>
        <v>0</v>
      </c>
      <c r="AH86" s="1453">
        <f t="shared" si="64"/>
        <v>0</v>
      </c>
    </row>
    <row r="87" spans="1:36" ht="38.25" outlineLevel="1">
      <c r="A87" s="66" t="s">
        <v>80</v>
      </c>
      <c r="B87" s="1909" t="s">
        <v>171</v>
      </c>
      <c r="C87" s="59" t="s">
        <v>172</v>
      </c>
      <c r="D87" s="68" t="s">
        <v>39</v>
      </c>
      <c r="E87" s="71">
        <v>915.45</v>
      </c>
      <c r="F87" s="60">
        <v>9</v>
      </c>
      <c r="G87" s="57">
        <f>ROUND(E87*F87,2)</f>
        <v>8239.0499999999993</v>
      </c>
      <c r="H87" s="1954">
        <v>9</v>
      </c>
      <c r="I87" s="1955">
        <f>ROUND((E87*H87),2)</f>
        <v>8239.0499999999993</v>
      </c>
      <c r="J87" s="1955"/>
      <c r="K87" s="57">
        <f t="shared" ref="K87:K120" si="67">ROUND((E87*J87),2)</f>
        <v>0</v>
      </c>
      <c r="L87" s="57"/>
      <c r="M87" s="57">
        <f t="shared" si="37"/>
        <v>0</v>
      </c>
      <c r="N87" s="1898">
        <v>0</v>
      </c>
      <c r="O87" s="1898">
        <v>0</v>
      </c>
      <c r="P87" s="57"/>
      <c r="Q87" s="57">
        <v>0</v>
      </c>
      <c r="R87" s="1223"/>
      <c r="S87" s="1899">
        <f t="shared" si="63"/>
        <v>0</v>
      </c>
      <c r="T87" s="1955"/>
      <c r="U87" s="1955"/>
      <c r="V87" s="1955"/>
      <c r="W87" s="1955"/>
      <c r="X87" s="1955"/>
      <c r="Y87" s="57">
        <f t="shared" si="65"/>
        <v>0</v>
      </c>
      <c r="Z87" s="1954">
        <f>VLOOKUP(A87,'12 - CORPO'!$A$1:$R$1841,18,FALSE)</f>
        <v>0</v>
      </c>
      <c r="AA87" s="1956">
        <f>AC87-I87</f>
        <v>0</v>
      </c>
      <c r="AB87" s="1954">
        <f>(H87+Z87)</f>
        <v>9</v>
      </c>
      <c r="AC87" s="1955">
        <f>ROUND((E87*AB87),2)</f>
        <v>8239.0499999999993</v>
      </c>
      <c r="AD87" s="720">
        <f t="shared" si="36"/>
        <v>9</v>
      </c>
      <c r="AE87" s="1906">
        <f>ROUND((E87*AD87),2)</f>
        <v>8239.0499999999993</v>
      </c>
      <c r="AF87" s="38"/>
      <c r="AG87" s="1452">
        <f t="shared" si="29"/>
        <v>0</v>
      </c>
      <c r="AH87" s="1453">
        <f t="shared" si="64"/>
        <v>0</v>
      </c>
    </row>
    <row r="88" spans="1:36" outlineLevel="1">
      <c r="A88" s="66" t="s">
        <v>81</v>
      </c>
      <c r="B88" s="89">
        <v>804015</v>
      </c>
      <c r="C88" s="59" t="s">
        <v>215</v>
      </c>
      <c r="D88" s="68" t="s">
        <v>144</v>
      </c>
      <c r="E88" s="71">
        <v>188.4</v>
      </c>
      <c r="F88" s="60">
        <v>4.4000000000000004</v>
      </c>
      <c r="G88" s="57">
        <f>ROUND(E88*F88,2)</f>
        <v>828.96</v>
      </c>
      <c r="H88" s="1901">
        <v>16.399999999999999</v>
      </c>
      <c r="I88" s="80">
        <f>ROUND((E88*H88),2)</f>
        <v>3089.76</v>
      </c>
      <c r="J88" s="80">
        <v>42</v>
      </c>
      <c r="K88" s="720">
        <f t="shared" si="67"/>
        <v>7912.8</v>
      </c>
      <c r="L88" s="720"/>
      <c r="M88" s="720">
        <f t="shared" si="37"/>
        <v>0</v>
      </c>
      <c r="N88" s="720">
        <v>0</v>
      </c>
      <c r="O88" s="720">
        <v>0</v>
      </c>
      <c r="P88" s="720"/>
      <c r="Q88" s="720">
        <v>0</v>
      </c>
      <c r="R88" s="719"/>
      <c r="S88" s="725">
        <f t="shared" si="63"/>
        <v>0</v>
      </c>
      <c r="T88" s="80"/>
      <c r="U88" s="80"/>
      <c r="V88" s="80"/>
      <c r="W88" s="80"/>
      <c r="X88" s="80"/>
      <c r="Y88" s="720">
        <f t="shared" si="65"/>
        <v>0</v>
      </c>
      <c r="Z88" s="1901">
        <f>VLOOKUP(A88,'12 - CORPO'!$A$1:$R$1841,18,FALSE)</f>
        <v>0</v>
      </c>
      <c r="AA88" s="71">
        <f>AC88-I88</f>
        <v>0</v>
      </c>
      <c r="AB88" s="1901">
        <f>(H88+Z88)</f>
        <v>16.399999999999999</v>
      </c>
      <c r="AC88" s="80">
        <f>ROUND((E88*AB88),2)</f>
        <v>3089.76</v>
      </c>
      <c r="AD88" s="720">
        <f t="shared" si="36"/>
        <v>46.4</v>
      </c>
      <c r="AE88" s="80">
        <f>ROUND((E88*AD88),2)</f>
        <v>8741.76</v>
      </c>
      <c r="AF88" s="38"/>
      <c r="AG88" s="1452">
        <f t="shared" si="29"/>
        <v>30</v>
      </c>
      <c r="AH88" s="1453">
        <f t="shared" si="64"/>
        <v>5652</v>
      </c>
    </row>
    <row r="89" spans="1:36" outlineLevel="1">
      <c r="A89" s="66" t="s">
        <v>82</v>
      </c>
      <c r="B89" s="89">
        <v>2003650</v>
      </c>
      <c r="C89" s="59" t="s">
        <v>216</v>
      </c>
      <c r="D89" s="68" t="s">
        <v>39</v>
      </c>
      <c r="E89" s="71">
        <v>2570.3200000000002</v>
      </c>
      <c r="F89" s="60">
        <v>1</v>
      </c>
      <c r="G89" s="57">
        <f>ROUND(E89*F89,2)</f>
        <v>2570.3200000000002</v>
      </c>
      <c r="H89" s="1901">
        <v>0</v>
      </c>
      <c r="I89" s="80">
        <f>ROUND((E89*H89),2)</f>
        <v>0</v>
      </c>
      <c r="J89" s="80"/>
      <c r="K89" s="720">
        <f t="shared" si="67"/>
        <v>0</v>
      </c>
      <c r="L89" s="720"/>
      <c r="M89" s="720">
        <f t="shared" si="37"/>
        <v>0</v>
      </c>
      <c r="N89" s="720">
        <v>0</v>
      </c>
      <c r="O89" s="720">
        <v>0</v>
      </c>
      <c r="P89" s="720"/>
      <c r="Q89" s="720">
        <v>0</v>
      </c>
      <c r="R89" s="719"/>
      <c r="S89" s="725">
        <f t="shared" si="63"/>
        <v>0</v>
      </c>
      <c r="T89" s="80"/>
      <c r="U89" s="80"/>
      <c r="V89" s="80"/>
      <c r="W89" s="80"/>
      <c r="X89" s="80"/>
      <c r="Y89" s="720">
        <f t="shared" si="65"/>
        <v>0</v>
      </c>
      <c r="Z89" s="1901">
        <f>VLOOKUP(A89,'12 - CORPO'!$A$1:$R$1841,18,FALSE)</f>
        <v>0</v>
      </c>
      <c r="AA89" s="71">
        <f>AC89-I89</f>
        <v>0</v>
      </c>
      <c r="AB89" s="1901">
        <f>(H89+Z89)</f>
        <v>0</v>
      </c>
      <c r="AC89" s="80">
        <f>ROUND((E89*AB89),2)</f>
        <v>0</v>
      </c>
      <c r="AD89" s="720">
        <f t="shared" si="36"/>
        <v>1</v>
      </c>
      <c r="AE89" s="80">
        <f>ROUND((E89*AD89),2)</f>
        <v>2570.3200000000002</v>
      </c>
      <c r="AF89" s="38"/>
      <c r="AG89" s="1452">
        <f t="shared" si="29"/>
        <v>1</v>
      </c>
      <c r="AH89" s="1453">
        <f t="shared" si="64"/>
        <v>2570.3200000000002</v>
      </c>
    </row>
    <row r="90" spans="1:36" outlineLevel="1">
      <c r="A90" s="73" t="s">
        <v>83</v>
      </c>
      <c r="B90" s="729">
        <v>2003626</v>
      </c>
      <c r="C90" s="90" t="s">
        <v>217</v>
      </c>
      <c r="D90" s="75" t="s">
        <v>39</v>
      </c>
      <c r="E90" s="76">
        <v>723.6</v>
      </c>
      <c r="F90" s="61">
        <v>1</v>
      </c>
      <c r="G90" s="1953">
        <f>ROUND(E90*F90,2)</f>
        <v>723.6</v>
      </c>
      <c r="H90" s="1957">
        <v>0</v>
      </c>
      <c r="I90" s="1958">
        <f>ROUND((E90*H90),2)</f>
        <v>0</v>
      </c>
      <c r="J90" s="1958"/>
      <c r="K90" s="1178">
        <f t="shared" si="67"/>
        <v>0</v>
      </c>
      <c r="L90" s="1178"/>
      <c r="M90" s="1178">
        <f t="shared" si="37"/>
        <v>0</v>
      </c>
      <c r="N90" s="78">
        <v>0</v>
      </c>
      <c r="O90" s="78">
        <v>0</v>
      </c>
      <c r="P90" s="1178"/>
      <c r="Q90" s="1178">
        <v>0</v>
      </c>
      <c r="R90" s="1911"/>
      <c r="S90" s="779">
        <f t="shared" si="63"/>
        <v>0</v>
      </c>
      <c r="T90" s="1958"/>
      <c r="U90" s="1958"/>
      <c r="V90" s="1958"/>
      <c r="W90" s="1958"/>
      <c r="X90" s="1958"/>
      <c r="Y90" s="1178">
        <f t="shared" si="65"/>
        <v>0</v>
      </c>
      <c r="Z90" s="1957">
        <f>VLOOKUP(A90,'12 - CORPO'!$A$1:$R$1841,18,FALSE)</f>
        <v>0</v>
      </c>
      <c r="AA90" s="82">
        <f>AC90-I90</f>
        <v>0</v>
      </c>
      <c r="AB90" s="1957">
        <f>(H90+Z90)</f>
        <v>0</v>
      </c>
      <c r="AC90" s="1958">
        <f>ROUND((E90*AB90),2)</f>
        <v>0</v>
      </c>
      <c r="AD90" s="720">
        <f t="shared" si="36"/>
        <v>1</v>
      </c>
      <c r="AE90" s="79">
        <f>ROUND((E90*AD90),2)</f>
        <v>723.6</v>
      </c>
      <c r="AF90" s="38"/>
      <c r="AG90" s="1452">
        <f t="shared" si="29"/>
        <v>1</v>
      </c>
      <c r="AH90" s="1453">
        <f t="shared" si="64"/>
        <v>723.6</v>
      </c>
    </row>
    <row r="91" spans="1:36">
      <c r="A91" s="1890" t="s">
        <v>84</v>
      </c>
      <c r="B91" s="1891" t="s">
        <v>218</v>
      </c>
      <c r="C91" s="1904"/>
      <c r="D91" s="1904"/>
      <c r="E91" s="1904"/>
      <c r="F91" s="1905"/>
      <c r="G91" s="1894">
        <f>SUBTOTAL(9,G92:G98)</f>
        <v>32010.97</v>
      </c>
      <c r="H91" s="1904"/>
      <c r="I91" s="1894">
        <f>SUBTOTAL(9,I92:I98)</f>
        <v>10152.039999999999</v>
      </c>
      <c r="J91" s="1894"/>
      <c r="K91" s="1894"/>
      <c r="L91" s="1894"/>
      <c r="M91" s="1894"/>
      <c r="N91" s="1894"/>
      <c r="O91" s="1894"/>
      <c r="P91" s="1894"/>
      <c r="Q91" s="1894"/>
      <c r="R91" s="1894"/>
      <c r="S91" s="1894"/>
      <c r="T91" s="1894"/>
      <c r="U91" s="1894"/>
      <c r="V91" s="1894"/>
      <c r="W91" s="1894"/>
      <c r="X91" s="1894"/>
      <c r="Y91" s="1918">
        <f t="shared" si="65"/>
        <v>0</v>
      </c>
      <c r="Z91" s="1904"/>
      <c r="AA91" s="1894">
        <f>SUBTOTAL(9,AA92:AA98)</f>
        <v>619.52</v>
      </c>
      <c r="AB91" s="1894"/>
      <c r="AC91" s="1894">
        <f>SUBTOTAL(9,AC92:AC98)</f>
        <v>10771.56</v>
      </c>
      <c r="AD91" s="1894"/>
      <c r="AE91" s="1894">
        <f t="shared" ref="AE91" si="68">SUBTOTAL(9,AE92:AE98)</f>
        <v>32010.97</v>
      </c>
      <c r="AF91" s="38"/>
      <c r="AG91" s="1452">
        <f t="shared" si="29"/>
        <v>0</v>
      </c>
      <c r="AH91" s="1453">
        <f t="shared" si="64"/>
        <v>0</v>
      </c>
    </row>
    <row r="92" spans="1:36" outlineLevel="1">
      <c r="A92" s="58" t="s">
        <v>85</v>
      </c>
      <c r="B92" s="728">
        <v>2003680</v>
      </c>
      <c r="C92" s="86" t="s">
        <v>219</v>
      </c>
      <c r="D92" s="81" t="s">
        <v>39</v>
      </c>
      <c r="E92" s="82">
        <v>1690.83</v>
      </c>
      <c r="F92" s="83">
        <v>1</v>
      </c>
      <c r="G92" s="57">
        <f t="shared" ref="G92:G98" si="69">ROUND(E92*F92,2)</f>
        <v>1690.83</v>
      </c>
      <c r="H92" s="1954">
        <v>0</v>
      </c>
      <c r="I92" s="1955">
        <f t="shared" ref="I92:I98" si="70">ROUND((E92*H92),2)</f>
        <v>0</v>
      </c>
      <c r="J92" s="1955"/>
      <c r="K92" s="57">
        <f t="shared" si="67"/>
        <v>0</v>
      </c>
      <c r="L92" s="57"/>
      <c r="M92" s="57">
        <f t="shared" si="37"/>
        <v>0</v>
      </c>
      <c r="N92" s="1898">
        <v>0</v>
      </c>
      <c r="O92" s="1898">
        <v>0</v>
      </c>
      <c r="P92" s="57"/>
      <c r="Q92" s="57">
        <v>0</v>
      </c>
      <c r="R92" s="1223"/>
      <c r="S92" s="1899">
        <f t="shared" si="63"/>
        <v>0</v>
      </c>
      <c r="T92" s="1955"/>
      <c r="U92" s="1955"/>
      <c r="V92" s="1955"/>
      <c r="W92" s="1955"/>
      <c r="X92" s="1955"/>
      <c r="Y92" s="57">
        <f t="shared" si="65"/>
        <v>0</v>
      </c>
      <c r="Z92" s="1954">
        <f>VLOOKUP(A92,'12 - CORPO'!$A$1:$R$1841,18,FALSE)</f>
        <v>0</v>
      </c>
      <c r="AA92" s="1956">
        <f t="shared" ref="AA92:AA98" si="71">AC92-I92</f>
        <v>0</v>
      </c>
      <c r="AB92" s="1954">
        <f t="shared" ref="AB92:AB98" si="72">(H92+Z92)</f>
        <v>0</v>
      </c>
      <c r="AC92" s="1955">
        <f t="shared" ref="AC92:AC98" si="73">ROUND((E92*AB92),2)</f>
        <v>0</v>
      </c>
      <c r="AD92" s="720">
        <f t="shared" si="36"/>
        <v>1</v>
      </c>
      <c r="AE92" s="1906">
        <f t="shared" ref="AE92:AE98" si="74">ROUND((E92*AD92),2)</f>
        <v>1690.83</v>
      </c>
      <c r="AF92" s="38"/>
      <c r="AG92" s="1452">
        <f t="shared" si="29"/>
        <v>1</v>
      </c>
      <c r="AH92" s="1453">
        <f t="shared" si="64"/>
        <v>1690.83</v>
      </c>
    </row>
    <row r="93" spans="1:36" ht="38.25" outlineLevel="1">
      <c r="A93" s="58" t="s">
        <v>86</v>
      </c>
      <c r="B93" s="728">
        <v>97121</v>
      </c>
      <c r="C93" s="91" t="s">
        <v>220</v>
      </c>
      <c r="D93" s="81" t="s">
        <v>144</v>
      </c>
      <c r="E93" s="82">
        <v>2.56</v>
      </c>
      <c r="F93" s="83">
        <v>274.48</v>
      </c>
      <c r="G93" s="57">
        <f t="shared" si="69"/>
        <v>702.67</v>
      </c>
      <c r="H93" s="1901">
        <v>29</v>
      </c>
      <c r="I93" s="80">
        <f t="shared" si="70"/>
        <v>74.239999999999995</v>
      </c>
      <c r="J93" s="80"/>
      <c r="K93" s="720">
        <f t="shared" si="67"/>
        <v>0</v>
      </c>
      <c r="L93" s="720"/>
      <c r="M93" s="720">
        <f t="shared" si="37"/>
        <v>0</v>
      </c>
      <c r="N93" s="720">
        <v>0</v>
      </c>
      <c r="O93" s="720">
        <v>0</v>
      </c>
      <c r="P93" s="720"/>
      <c r="Q93" s="720">
        <v>0</v>
      </c>
      <c r="R93" s="719"/>
      <c r="S93" s="725">
        <f t="shared" si="63"/>
        <v>0</v>
      </c>
      <c r="T93" s="80"/>
      <c r="U93" s="80"/>
      <c r="V93" s="80"/>
      <c r="W93" s="80"/>
      <c r="X93" s="80"/>
      <c r="Y93" s="720">
        <f t="shared" si="65"/>
        <v>0</v>
      </c>
      <c r="Z93" s="1901">
        <f>VLOOKUP(A93,'12 - CORPO'!$A$1:$R$1841,18,FALSE)</f>
        <v>242</v>
      </c>
      <c r="AA93" s="71">
        <f t="shared" si="71"/>
        <v>619.52</v>
      </c>
      <c r="AB93" s="1901">
        <f t="shared" si="72"/>
        <v>271</v>
      </c>
      <c r="AC93" s="80">
        <f t="shared" si="73"/>
        <v>693.76</v>
      </c>
      <c r="AD93" s="720">
        <f t="shared" si="36"/>
        <v>274.48</v>
      </c>
      <c r="AE93" s="80">
        <f t="shared" si="74"/>
        <v>702.67</v>
      </c>
      <c r="AF93" s="38"/>
      <c r="AG93" s="1452">
        <f t="shared" si="29"/>
        <v>3.4800000000000182</v>
      </c>
      <c r="AH93" s="1453">
        <f t="shared" si="64"/>
        <v>8.9088000000000473</v>
      </c>
    </row>
    <row r="94" spans="1:36" outlineLevel="1">
      <c r="A94" s="58" t="s">
        <v>87</v>
      </c>
      <c r="B94" s="85">
        <v>36378</v>
      </c>
      <c r="C94" s="91" t="s">
        <v>221</v>
      </c>
      <c r="D94" s="81" t="s">
        <v>144</v>
      </c>
      <c r="E94" s="82">
        <v>36.72</v>
      </c>
      <c r="F94" s="83">
        <v>274.48</v>
      </c>
      <c r="G94" s="57">
        <f t="shared" si="69"/>
        <v>10078.91</v>
      </c>
      <c r="H94" s="1901">
        <v>274.45</v>
      </c>
      <c r="I94" s="80">
        <f t="shared" si="70"/>
        <v>10077.799999999999</v>
      </c>
      <c r="J94" s="80"/>
      <c r="K94" s="720">
        <f t="shared" si="67"/>
        <v>0</v>
      </c>
      <c r="L94" s="720"/>
      <c r="M94" s="720">
        <f t="shared" si="37"/>
        <v>0</v>
      </c>
      <c r="N94" s="720">
        <v>0</v>
      </c>
      <c r="O94" s="720">
        <v>0</v>
      </c>
      <c r="P94" s="720"/>
      <c r="Q94" s="720">
        <v>0</v>
      </c>
      <c r="R94" s="719"/>
      <c r="S94" s="725">
        <f t="shared" si="63"/>
        <v>0</v>
      </c>
      <c r="T94" s="80"/>
      <c r="U94" s="80"/>
      <c r="V94" s="80"/>
      <c r="W94" s="80"/>
      <c r="X94" s="80"/>
      <c r="Y94" s="720">
        <f t="shared" si="65"/>
        <v>0</v>
      </c>
      <c r="Z94" s="719">
        <f>VLOOKUP(A94,'12 - CORPO'!$A$1:$R$1841,18,FALSE)</f>
        <v>0</v>
      </c>
      <c r="AA94" s="71">
        <f t="shared" si="71"/>
        <v>0</v>
      </c>
      <c r="AB94" s="1901">
        <f>(H94+Z94)</f>
        <v>274.45</v>
      </c>
      <c r="AC94" s="80">
        <f t="shared" si="73"/>
        <v>10077.799999999999</v>
      </c>
      <c r="AD94" s="720">
        <f>ROUND((F94+J94+R94+L94+T94+N94),5)-X94-P94</f>
        <v>274.48</v>
      </c>
      <c r="AE94" s="80">
        <f t="shared" si="74"/>
        <v>10078.91</v>
      </c>
      <c r="AF94" s="38"/>
      <c r="AG94" s="1452">
        <f>AD94-AB94</f>
        <v>3.0000000000029559E-2</v>
      </c>
      <c r="AH94" s="1453">
        <f t="shared" si="64"/>
        <v>1.1016000000010853</v>
      </c>
    </row>
    <row r="95" spans="1:36" ht="38.25" outlineLevel="1">
      <c r="A95" s="58" t="s">
        <v>88</v>
      </c>
      <c r="B95" s="728">
        <v>97123</v>
      </c>
      <c r="C95" s="91" t="s">
        <v>222</v>
      </c>
      <c r="D95" s="81" t="s">
        <v>144</v>
      </c>
      <c r="E95" s="82">
        <v>4.51</v>
      </c>
      <c r="F95" s="83">
        <v>118.46</v>
      </c>
      <c r="G95" s="57">
        <f t="shared" si="69"/>
        <v>534.25</v>
      </c>
      <c r="H95" s="1901">
        <v>0</v>
      </c>
      <c r="I95" s="80">
        <f t="shared" si="70"/>
        <v>0</v>
      </c>
      <c r="J95" s="80"/>
      <c r="K95" s="720">
        <f t="shared" si="67"/>
        <v>0</v>
      </c>
      <c r="L95" s="720"/>
      <c r="M95" s="720">
        <f t="shared" si="37"/>
        <v>0</v>
      </c>
      <c r="N95" s="720">
        <v>0</v>
      </c>
      <c r="O95" s="720">
        <v>0</v>
      </c>
      <c r="P95" s="720"/>
      <c r="Q95" s="720">
        <v>0</v>
      </c>
      <c r="R95" s="719"/>
      <c r="S95" s="725">
        <f t="shared" si="63"/>
        <v>0</v>
      </c>
      <c r="T95" s="80"/>
      <c r="U95" s="80"/>
      <c r="V95" s="80"/>
      <c r="W95" s="80"/>
      <c r="X95" s="80"/>
      <c r="Y95" s="720">
        <f t="shared" si="65"/>
        <v>0</v>
      </c>
      <c r="Z95" s="1901">
        <f>VLOOKUP(A95,'12 - CORPO'!$A$1:$R$1841,18,FALSE)</f>
        <v>0</v>
      </c>
      <c r="AA95" s="71">
        <f t="shared" si="71"/>
        <v>0</v>
      </c>
      <c r="AB95" s="1901">
        <f t="shared" si="72"/>
        <v>0</v>
      </c>
      <c r="AC95" s="80">
        <f t="shared" si="73"/>
        <v>0</v>
      </c>
      <c r="AD95" s="720">
        <f t="shared" si="36"/>
        <v>118.46</v>
      </c>
      <c r="AE95" s="80">
        <f t="shared" si="74"/>
        <v>534.25</v>
      </c>
      <c r="AF95" s="38"/>
      <c r="AG95" s="1452">
        <f t="shared" si="29"/>
        <v>118.46</v>
      </c>
      <c r="AH95" s="1453">
        <f t="shared" si="64"/>
        <v>534.25459999999998</v>
      </c>
    </row>
    <row r="96" spans="1:36" outlineLevel="1">
      <c r="A96" s="58" t="s">
        <v>89</v>
      </c>
      <c r="B96" s="67">
        <v>36380</v>
      </c>
      <c r="C96" s="92" t="s">
        <v>223</v>
      </c>
      <c r="D96" s="68" t="s">
        <v>144</v>
      </c>
      <c r="E96" s="71">
        <v>122.55</v>
      </c>
      <c r="F96" s="60">
        <v>118.46</v>
      </c>
      <c r="G96" s="57">
        <f t="shared" si="69"/>
        <v>14517.27</v>
      </c>
      <c r="H96" s="1901">
        <v>0</v>
      </c>
      <c r="I96" s="80">
        <f t="shared" si="70"/>
        <v>0</v>
      </c>
      <c r="J96" s="80"/>
      <c r="K96" s="720">
        <f t="shared" si="67"/>
        <v>0</v>
      </c>
      <c r="L96" s="720"/>
      <c r="M96" s="720">
        <f t="shared" si="37"/>
        <v>0</v>
      </c>
      <c r="N96" s="720">
        <v>0</v>
      </c>
      <c r="O96" s="720">
        <v>0</v>
      </c>
      <c r="P96" s="720"/>
      <c r="Q96" s="720">
        <v>0</v>
      </c>
      <c r="R96" s="719"/>
      <c r="S96" s="725">
        <f t="shared" si="63"/>
        <v>0</v>
      </c>
      <c r="T96" s="80"/>
      <c r="U96" s="80"/>
      <c r="V96" s="80"/>
      <c r="W96" s="80"/>
      <c r="X96" s="80"/>
      <c r="Y96" s="720">
        <f t="shared" si="65"/>
        <v>0</v>
      </c>
      <c r="Z96" s="1901">
        <f>VLOOKUP(A96,'12 - CORPO'!$A$1:$R$1841,18,FALSE)</f>
        <v>0</v>
      </c>
      <c r="AA96" s="71">
        <f t="shared" si="71"/>
        <v>0</v>
      </c>
      <c r="AB96" s="1901">
        <f t="shared" si="72"/>
        <v>0</v>
      </c>
      <c r="AC96" s="80">
        <f t="shared" si="73"/>
        <v>0</v>
      </c>
      <c r="AD96" s="720">
        <f t="shared" si="36"/>
        <v>118.46</v>
      </c>
      <c r="AE96" s="80">
        <f t="shared" si="74"/>
        <v>14517.27</v>
      </c>
      <c r="AF96" s="38"/>
      <c r="AG96" s="1452">
        <f t="shared" si="29"/>
        <v>118.46</v>
      </c>
      <c r="AH96" s="1453">
        <f t="shared" si="64"/>
        <v>14517.272999999999</v>
      </c>
    </row>
    <row r="97" spans="1:34" ht="38.25" outlineLevel="1">
      <c r="A97" s="58" t="s">
        <v>90</v>
      </c>
      <c r="B97" s="728">
        <v>97144</v>
      </c>
      <c r="C97" s="91" t="s">
        <v>224</v>
      </c>
      <c r="D97" s="81" t="s">
        <v>144</v>
      </c>
      <c r="E97" s="82">
        <v>17.29</v>
      </c>
      <c r="F97" s="83">
        <v>13.66</v>
      </c>
      <c r="G97" s="57">
        <f t="shared" si="69"/>
        <v>236.18</v>
      </c>
      <c r="H97" s="1901">
        <v>0</v>
      </c>
      <c r="I97" s="80">
        <f t="shared" si="70"/>
        <v>0</v>
      </c>
      <c r="J97" s="80"/>
      <c r="K97" s="720">
        <f t="shared" si="67"/>
        <v>0</v>
      </c>
      <c r="L97" s="720"/>
      <c r="M97" s="720">
        <f t="shared" si="37"/>
        <v>0</v>
      </c>
      <c r="N97" s="720">
        <v>0</v>
      </c>
      <c r="O97" s="720">
        <v>0</v>
      </c>
      <c r="P97" s="720"/>
      <c r="Q97" s="720">
        <v>0</v>
      </c>
      <c r="R97" s="719"/>
      <c r="S97" s="725">
        <f t="shared" si="63"/>
        <v>0</v>
      </c>
      <c r="T97" s="80"/>
      <c r="U97" s="80"/>
      <c r="V97" s="80"/>
      <c r="W97" s="80"/>
      <c r="X97" s="80"/>
      <c r="Y97" s="720">
        <f t="shared" si="65"/>
        <v>0</v>
      </c>
      <c r="Z97" s="1901">
        <f>VLOOKUP(A97,'12 - CORPO'!$A$1:$R$1841,18,FALSE)</f>
        <v>0</v>
      </c>
      <c r="AA97" s="71">
        <f t="shared" si="71"/>
        <v>0</v>
      </c>
      <c r="AB97" s="1901">
        <f>(H97+Z97)</f>
        <v>0</v>
      </c>
      <c r="AC97" s="80">
        <f t="shared" si="73"/>
        <v>0</v>
      </c>
      <c r="AD97" s="720">
        <f t="shared" si="36"/>
        <v>13.66</v>
      </c>
      <c r="AE97" s="80">
        <f t="shared" si="74"/>
        <v>236.18</v>
      </c>
      <c r="AF97" s="38"/>
      <c r="AG97" s="1452">
        <f t="shared" si="29"/>
        <v>13.66</v>
      </c>
      <c r="AH97" s="1453">
        <f t="shared" si="64"/>
        <v>236.1814</v>
      </c>
    </row>
    <row r="98" spans="1:34" outlineLevel="1">
      <c r="A98" s="93" t="s">
        <v>91</v>
      </c>
      <c r="B98" s="74">
        <v>3209</v>
      </c>
      <c r="C98" s="94" t="s">
        <v>225</v>
      </c>
      <c r="D98" s="75" t="s">
        <v>144</v>
      </c>
      <c r="E98" s="76">
        <v>311.19</v>
      </c>
      <c r="F98" s="61">
        <v>13.66</v>
      </c>
      <c r="G98" s="78">
        <f t="shared" si="69"/>
        <v>4250.8599999999997</v>
      </c>
      <c r="H98" s="1903">
        <v>0</v>
      </c>
      <c r="I98" s="79">
        <f t="shared" si="70"/>
        <v>0</v>
      </c>
      <c r="J98" s="79"/>
      <c r="K98" s="78">
        <f t="shared" si="67"/>
        <v>0</v>
      </c>
      <c r="L98" s="78"/>
      <c r="M98" s="78">
        <f t="shared" si="37"/>
        <v>0</v>
      </c>
      <c r="N98" s="78">
        <v>0</v>
      </c>
      <c r="O98" s="78">
        <v>0</v>
      </c>
      <c r="P98" s="1178"/>
      <c r="Q98" s="1178">
        <v>0</v>
      </c>
      <c r="R98" s="719"/>
      <c r="S98" s="725">
        <f t="shared" si="63"/>
        <v>0</v>
      </c>
      <c r="T98" s="79"/>
      <c r="U98" s="79"/>
      <c r="V98" s="79"/>
      <c r="W98" s="79"/>
      <c r="X98" s="79"/>
      <c r="Y98" s="720">
        <f t="shared" si="65"/>
        <v>0</v>
      </c>
      <c r="Z98" s="1903">
        <f>VLOOKUP(A98,'12 - CORPO'!$A$1:$R$1841,18,FALSE)</f>
        <v>0</v>
      </c>
      <c r="AA98" s="71">
        <f t="shared" si="71"/>
        <v>0</v>
      </c>
      <c r="AB98" s="1903">
        <f t="shared" si="72"/>
        <v>0</v>
      </c>
      <c r="AC98" s="79">
        <f t="shared" si="73"/>
        <v>0</v>
      </c>
      <c r="AD98" s="720">
        <f t="shared" si="36"/>
        <v>13.66</v>
      </c>
      <c r="AE98" s="79">
        <f t="shared" si="74"/>
        <v>4250.8599999999997</v>
      </c>
      <c r="AF98" s="38"/>
      <c r="AG98" s="1452">
        <f t="shared" ref="AG98:AG155" si="75">AD98-AB98</f>
        <v>13.66</v>
      </c>
      <c r="AH98" s="1453">
        <f t="shared" si="64"/>
        <v>4250.8554000000004</v>
      </c>
    </row>
    <row r="99" spans="1:34" s="55" customFormat="1">
      <c r="A99" s="1890" t="s">
        <v>92</v>
      </c>
      <c r="B99" s="1891" t="s">
        <v>173</v>
      </c>
      <c r="C99" s="1904"/>
      <c r="D99" s="1904"/>
      <c r="E99" s="1904"/>
      <c r="F99" s="1905"/>
      <c r="G99" s="1894">
        <f>SUBTOTAL(9,G100:G105)</f>
        <v>139790.21999999997</v>
      </c>
      <c r="H99" s="1894"/>
      <c r="I99" s="1894">
        <f>SUBTOTAL(9,I100:I105)</f>
        <v>66602.210000000006</v>
      </c>
      <c r="J99" s="1894"/>
      <c r="K99" s="1894">
        <f t="shared" ref="K99:AB99" si="76">SUBTOTAL(9,K100:K105)</f>
        <v>3106.89</v>
      </c>
      <c r="L99" s="1894">
        <f t="shared" si="76"/>
        <v>0</v>
      </c>
      <c r="M99" s="1894">
        <f t="shared" si="76"/>
        <v>0</v>
      </c>
      <c r="N99" s="1894">
        <f t="shared" si="76"/>
        <v>0</v>
      </c>
      <c r="O99" s="1894">
        <f t="shared" si="76"/>
        <v>0</v>
      </c>
      <c r="P99" s="1894">
        <f t="shared" si="76"/>
        <v>0</v>
      </c>
      <c r="Q99" s="1894">
        <f t="shared" si="76"/>
        <v>0</v>
      </c>
      <c r="R99" s="1894">
        <f t="shared" si="76"/>
        <v>0</v>
      </c>
      <c r="S99" s="1894">
        <f t="shared" si="76"/>
        <v>0</v>
      </c>
      <c r="T99" s="1894"/>
      <c r="U99" s="1894">
        <f t="shared" si="76"/>
        <v>0</v>
      </c>
      <c r="V99" s="1894"/>
      <c r="W99" s="1894">
        <f t="shared" ref="W99" si="77">SUBTOTAL(9,W100:W105)</f>
        <v>0</v>
      </c>
      <c r="X99" s="1894"/>
      <c r="Y99" s="1894">
        <f t="shared" si="76"/>
        <v>0</v>
      </c>
      <c r="Z99" s="1894"/>
      <c r="AA99" s="1894">
        <f>SUBTOTAL(9,AA100:AA105)</f>
        <v>1622.8199999999997</v>
      </c>
      <c r="AB99" s="1894">
        <f t="shared" si="76"/>
        <v>3219.62</v>
      </c>
      <c r="AC99" s="1894">
        <f>SUBTOTAL(9,AC100:AC105)</f>
        <v>68225.03</v>
      </c>
      <c r="AD99" s="1894"/>
      <c r="AE99" s="1894">
        <f>SUBTOTAL(9,AE100:AE105)</f>
        <v>142897.10999999996</v>
      </c>
      <c r="AF99" s="38"/>
      <c r="AG99" s="1452"/>
      <c r="AH99" s="1453">
        <f t="shared" si="64"/>
        <v>0</v>
      </c>
    </row>
    <row r="100" spans="1:34" outlineLevel="1">
      <c r="A100" s="58" t="s">
        <v>93</v>
      </c>
      <c r="B100" s="727">
        <v>1600436</v>
      </c>
      <c r="C100" s="59" t="s">
        <v>226</v>
      </c>
      <c r="D100" s="68" t="s">
        <v>164</v>
      </c>
      <c r="E100" s="71">
        <v>258.45</v>
      </c>
      <c r="F100" s="60">
        <v>3.96</v>
      </c>
      <c r="G100" s="57">
        <f t="shared" ref="G100:G105" si="78">ROUND(E100*F100,2)</f>
        <v>1023.46</v>
      </c>
      <c r="H100" s="1900">
        <v>3.96</v>
      </c>
      <c r="I100" s="1906">
        <f t="shared" ref="I100:I105" si="79">ROUND((E100*H100),2)</f>
        <v>1023.46</v>
      </c>
      <c r="J100" s="1906"/>
      <c r="K100" s="1898">
        <f t="shared" si="67"/>
        <v>0</v>
      </c>
      <c r="L100" s="1898"/>
      <c r="M100" s="1898">
        <f t="shared" si="37"/>
        <v>0</v>
      </c>
      <c r="N100" s="1898">
        <v>0</v>
      </c>
      <c r="O100" s="1898">
        <v>0</v>
      </c>
      <c r="P100" s="57"/>
      <c r="Q100" s="57">
        <v>0</v>
      </c>
      <c r="R100" s="719"/>
      <c r="S100" s="725">
        <f t="shared" si="63"/>
        <v>0</v>
      </c>
      <c r="T100" s="1906"/>
      <c r="U100" s="1906"/>
      <c r="V100" s="1906"/>
      <c r="W100" s="1906"/>
      <c r="X100" s="1906"/>
      <c r="Y100" s="720">
        <f t="shared" si="65"/>
        <v>0</v>
      </c>
      <c r="Z100" s="1900">
        <f>VLOOKUP(A100,'12 - CORPO'!$A$1:$R$1841,18,FALSE)</f>
        <v>0</v>
      </c>
      <c r="AA100" s="1959">
        <f t="shared" ref="AA100:AA105" si="80">AC100-I100</f>
        <v>0</v>
      </c>
      <c r="AB100" s="1900">
        <f t="shared" ref="AB100:AB105" si="81">(H100+Z100)</f>
        <v>3.96</v>
      </c>
      <c r="AC100" s="1906">
        <f t="shared" ref="AC100:AC105" si="82">ROUND((E100*AB100),2)</f>
        <v>1023.46</v>
      </c>
      <c r="AD100" s="720">
        <f t="shared" si="36"/>
        <v>3.96</v>
      </c>
      <c r="AE100" s="1906">
        <f t="shared" ref="AE100:AE105" si="83">ROUND((E100*AD100),2)</f>
        <v>1023.46</v>
      </c>
      <c r="AF100" s="38"/>
      <c r="AG100" s="1452">
        <f t="shared" si="75"/>
        <v>0</v>
      </c>
      <c r="AH100" s="1453">
        <f t="shared" si="64"/>
        <v>0</v>
      </c>
    </row>
    <row r="101" spans="1:34" ht="25.5" customHeight="1" outlineLevel="1">
      <c r="A101" s="58" t="s">
        <v>94</v>
      </c>
      <c r="B101" s="727">
        <v>42504</v>
      </c>
      <c r="C101" s="1331" t="s">
        <v>227</v>
      </c>
      <c r="D101" s="68" t="s">
        <v>151</v>
      </c>
      <c r="E101" s="725">
        <v>35.125820874482336</v>
      </c>
      <c r="F101" s="778">
        <v>3759.71</v>
      </c>
      <c r="G101" s="57">
        <f t="shared" si="78"/>
        <v>132062.9</v>
      </c>
      <c r="H101" s="719">
        <v>1755.46</v>
      </c>
      <c r="I101" s="720">
        <f t="shared" si="79"/>
        <v>61661.97</v>
      </c>
      <c r="J101" s="720"/>
      <c r="K101" s="720">
        <f t="shared" si="67"/>
        <v>0</v>
      </c>
      <c r="L101" s="720"/>
      <c r="M101" s="720">
        <f t="shared" si="37"/>
        <v>0</v>
      </c>
      <c r="N101" s="720">
        <v>0</v>
      </c>
      <c r="O101" s="720">
        <v>0</v>
      </c>
      <c r="P101" s="720"/>
      <c r="Q101" s="720">
        <v>0</v>
      </c>
      <c r="R101" s="719"/>
      <c r="S101" s="725">
        <f t="shared" si="63"/>
        <v>0</v>
      </c>
      <c r="T101" s="720"/>
      <c r="U101" s="720"/>
      <c r="V101" s="720"/>
      <c r="W101" s="720"/>
      <c r="X101" s="720"/>
      <c r="Y101" s="720">
        <f t="shared" si="65"/>
        <v>0</v>
      </c>
      <c r="Z101" s="719">
        <f>VLOOKUP(A101,'12 - CORPO'!$A$1:$R$1841,18,FALSE)</f>
        <v>46.200000000000045</v>
      </c>
      <c r="AA101" s="725">
        <f t="shared" si="80"/>
        <v>1622.8199999999997</v>
      </c>
      <c r="AB101" s="719">
        <f t="shared" si="81"/>
        <v>1801.66</v>
      </c>
      <c r="AC101" s="720">
        <f t="shared" si="82"/>
        <v>63284.79</v>
      </c>
      <c r="AD101" s="720">
        <f t="shared" si="36"/>
        <v>3759.71</v>
      </c>
      <c r="AE101" s="720">
        <f t="shared" si="83"/>
        <v>132062.9</v>
      </c>
      <c r="AF101" s="38"/>
      <c r="AG101" s="1452">
        <f t="shared" si="75"/>
        <v>1958.05</v>
      </c>
      <c r="AH101" s="1453">
        <f t="shared" si="64"/>
        <v>68778.113563280131</v>
      </c>
    </row>
    <row r="102" spans="1:34" ht="19.5" customHeight="1" outlineLevel="1">
      <c r="A102" s="58" t="s">
        <v>95</v>
      </c>
      <c r="B102" s="727">
        <v>42870</v>
      </c>
      <c r="C102" s="59" t="s">
        <v>228</v>
      </c>
      <c r="D102" s="68" t="s">
        <v>164</v>
      </c>
      <c r="E102" s="71">
        <v>198.53</v>
      </c>
      <c r="F102" s="60">
        <v>8.5500000000000007</v>
      </c>
      <c r="G102" s="57">
        <f t="shared" si="78"/>
        <v>1697.43</v>
      </c>
      <c r="H102" s="1901">
        <v>0</v>
      </c>
      <c r="I102" s="80">
        <f t="shared" si="79"/>
        <v>0</v>
      </c>
      <c r="J102" s="80"/>
      <c r="K102" s="720">
        <f t="shared" si="67"/>
        <v>0</v>
      </c>
      <c r="L102" s="720"/>
      <c r="M102" s="720">
        <f t="shared" si="37"/>
        <v>0</v>
      </c>
      <c r="N102" s="720">
        <v>0</v>
      </c>
      <c r="O102" s="720">
        <v>0</v>
      </c>
      <c r="P102" s="720"/>
      <c r="Q102" s="720">
        <v>0</v>
      </c>
      <c r="R102" s="719"/>
      <c r="S102" s="725">
        <f t="shared" si="63"/>
        <v>0</v>
      </c>
      <c r="T102" s="80"/>
      <c r="U102" s="80"/>
      <c r="V102" s="80"/>
      <c r="W102" s="80"/>
      <c r="X102" s="80"/>
      <c r="Y102" s="720">
        <f t="shared" si="65"/>
        <v>0</v>
      </c>
      <c r="Z102" s="1901">
        <f>VLOOKUP(A102,'12 - CORPO'!$A$1:$R$1841,18,FALSE)</f>
        <v>0</v>
      </c>
      <c r="AA102" s="71">
        <f t="shared" si="80"/>
        <v>0</v>
      </c>
      <c r="AB102" s="1901">
        <f t="shared" si="81"/>
        <v>0</v>
      </c>
      <c r="AC102" s="80">
        <f t="shared" si="82"/>
        <v>0</v>
      </c>
      <c r="AD102" s="720">
        <f t="shared" si="36"/>
        <v>8.5500000000000007</v>
      </c>
      <c r="AE102" s="80">
        <f t="shared" si="83"/>
        <v>1697.43</v>
      </c>
      <c r="AF102" s="38"/>
      <c r="AG102" s="1452">
        <f t="shared" si="75"/>
        <v>8.5500000000000007</v>
      </c>
      <c r="AH102" s="1453">
        <f t="shared" si="64"/>
        <v>1697.4315000000001</v>
      </c>
    </row>
    <row r="103" spans="1:34" ht="19.5" customHeight="1" outlineLevel="1">
      <c r="A103" s="58" t="s">
        <v>96</v>
      </c>
      <c r="B103" s="727">
        <v>60024</v>
      </c>
      <c r="C103" s="59" t="s">
        <v>229</v>
      </c>
      <c r="D103" s="68" t="s">
        <v>168</v>
      </c>
      <c r="E103" s="71">
        <v>11.710102636345342</v>
      </c>
      <c r="F103" s="60">
        <v>99.38</v>
      </c>
      <c r="G103" s="57">
        <f t="shared" si="78"/>
        <v>1163.75</v>
      </c>
      <c r="H103" s="1901">
        <v>0</v>
      </c>
      <c r="I103" s="80">
        <f t="shared" si="79"/>
        <v>0</v>
      </c>
      <c r="J103" s="80"/>
      <c r="K103" s="720">
        <f t="shared" si="67"/>
        <v>0</v>
      </c>
      <c r="L103" s="720"/>
      <c r="M103" s="720">
        <f t="shared" si="37"/>
        <v>0</v>
      </c>
      <c r="N103" s="720">
        <v>0</v>
      </c>
      <c r="O103" s="720">
        <v>0</v>
      </c>
      <c r="P103" s="720"/>
      <c r="Q103" s="720">
        <v>0</v>
      </c>
      <c r="R103" s="719"/>
      <c r="S103" s="725">
        <f t="shared" si="63"/>
        <v>0</v>
      </c>
      <c r="T103" s="80"/>
      <c r="U103" s="80"/>
      <c r="V103" s="80"/>
      <c r="W103" s="80"/>
      <c r="X103" s="80"/>
      <c r="Y103" s="720">
        <f t="shared" si="65"/>
        <v>0</v>
      </c>
      <c r="Z103" s="1901">
        <f>VLOOKUP(A103,'12 - CORPO'!$A$1:$R$1841,18,FALSE)</f>
        <v>0</v>
      </c>
      <c r="AA103" s="71">
        <f t="shared" si="80"/>
        <v>0</v>
      </c>
      <c r="AB103" s="1901">
        <f t="shared" si="81"/>
        <v>0</v>
      </c>
      <c r="AC103" s="80">
        <f t="shared" si="82"/>
        <v>0</v>
      </c>
      <c r="AD103" s="720">
        <f t="shared" si="36"/>
        <v>99.38</v>
      </c>
      <c r="AE103" s="80">
        <f t="shared" si="83"/>
        <v>1163.75</v>
      </c>
      <c r="AF103" s="38"/>
      <c r="AG103" s="1452">
        <f t="shared" si="75"/>
        <v>99.38</v>
      </c>
      <c r="AH103" s="1453">
        <f t="shared" si="64"/>
        <v>1163.75</v>
      </c>
    </row>
    <row r="104" spans="1:34" ht="15.75" customHeight="1" outlineLevel="1">
      <c r="A104" s="58" t="s">
        <v>97</v>
      </c>
      <c r="B104" s="727">
        <v>40867</v>
      </c>
      <c r="C104" s="59" t="s">
        <v>230</v>
      </c>
      <c r="D104" s="68" t="s">
        <v>151</v>
      </c>
      <c r="E104" s="71">
        <v>2.77</v>
      </c>
      <c r="F104" s="60">
        <v>886.51</v>
      </c>
      <c r="G104" s="57">
        <f t="shared" si="78"/>
        <v>2455.63</v>
      </c>
      <c r="H104" s="1901">
        <v>1414</v>
      </c>
      <c r="I104" s="80">
        <f t="shared" si="79"/>
        <v>3916.78</v>
      </c>
      <c r="J104" s="80">
        <v>1121.6209999999999</v>
      </c>
      <c r="K104" s="720">
        <f>ROUND((E104*J104),2)</f>
        <v>3106.89</v>
      </c>
      <c r="L104" s="720"/>
      <c r="M104" s="720">
        <f t="shared" si="37"/>
        <v>0</v>
      </c>
      <c r="N104" s="720">
        <v>0</v>
      </c>
      <c r="O104" s="720">
        <v>0</v>
      </c>
      <c r="P104" s="720"/>
      <c r="Q104" s="720">
        <v>0</v>
      </c>
      <c r="R104" s="719"/>
      <c r="S104" s="725">
        <f t="shared" si="63"/>
        <v>0</v>
      </c>
      <c r="T104" s="80"/>
      <c r="U104" s="80"/>
      <c r="V104" s="80"/>
      <c r="W104" s="80"/>
      <c r="X104" s="80"/>
      <c r="Y104" s="720">
        <f t="shared" si="65"/>
        <v>0</v>
      </c>
      <c r="Z104" s="1901">
        <f>VLOOKUP(A104,'12 - CORPO'!$A$1:$R$1841,18,FALSE)</f>
        <v>0</v>
      </c>
      <c r="AA104" s="71">
        <f t="shared" si="80"/>
        <v>0</v>
      </c>
      <c r="AB104" s="1901">
        <f t="shared" si="81"/>
        <v>1414</v>
      </c>
      <c r="AC104" s="80">
        <f t="shared" si="82"/>
        <v>3916.78</v>
      </c>
      <c r="AD104" s="720">
        <f t="shared" si="36"/>
        <v>2008.1310000000001</v>
      </c>
      <c r="AE104" s="80">
        <f t="shared" si="83"/>
        <v>5562.52</v>
      </c>
      <c r="AF104" s="38"/>
      <c r="AG104" s="1452">
        <f t="shared" si="75"/>
        <v>594.13100000000009</v>
      </c>
      <c r="AH104" s="1453">
        <f t="shared" si="64"/>
        <v>1645.7428700000003</v>
      </c>
    </row>
    <row r="105" spans="1:34" ht="27" customHeight="1" outlineLevel="1">
      <c r="A105" s="58" t="s">
        <v>98</v>
      </c>
      <c r="B105" s="67" t="s">
        <v>231</v>
      </c>
      <c r="C105" s="92" t="s">
        <v>232</v>
      </c>
      <c r="D105" s="68" t="s">
        <v>39</v>
      </c>
      <c r="E105" s="71">
        <v>1387.05</v>
      </c>
      <c r="F105" s="60">
        <v>1</v>
      </c>
      <c r="G105" s="57">
        <f t="shared" si="78"/>
        <v>1387.05</v>
      </c>
      <c r="H105" s="1903">
        <v>0</v>
      </c>
      <c r="I105" s="79">
        <f t="shared" si="79"/>
        <v>0</v>
      </c>
      <c r="J105" s="79"/>
      <c r="K105" s="78">
        <f t="shared" si="67"/>
        <v>0</v>
      </c>
      <c r="L105" s="78"/>
      <c r="M105" s="78">
        <f t="shared" si="37"/>
        <v>0</v>
      </c>
      <c r="N105" s="78">
        <v>0</v>
      </c>
      <c r="O105" s="78">
        <v>0</v>
      </c>
      <c r="P105" s="1178"/>
      <c r="Q105" s="1178">
        <v>0</v>
      </c>
      <c r="R105" s="719"/>
      <c r="S105" s="725">
        <f t="shared" si="63"/>
        <v>0</v>
      </c>
      <c r="T105" s="79"/>
      <c r="U105" s="79"/>
      <c r="V105" s="79"/>
      <c r="W105" s="79"/>
      <c r="X105" s="79"/>
      <c r="Y105" s="720">
        <f t="shared" si="65"/>
        <v>0</v>
      </c>
      <c r="Z105" s="1903">
        <f>VLOOKUP(A105,'12 - CORPO'!$A$1:$R$1841,18,FALSE)</f>
        <v>0</v>
      </c>
      <c r="AA105" s="76">
        <f t="shared" si="80"/>
        <v>0</v>
      </c>
      <c r="AB105" s="1903">
        <f t="shared" si="81"/>
        <v>0</v>
      </c>
      <c r="AC105" s="79">
        <f t="shared" si="82"/>
        <v>0</v>
      </c>
      <c r="AD105" s="720">
        <f t="shared" si="36"/>
        <v>1</v>
      </c>
      <c r="AE105" s="79">
        <f t="shared" si="83"/>
        <v>1387.05</v>
      </c>
      <c r="AF105" s="38"/>
      <c r="AG105" s="1452">
        <f t="shared" si="75"/>
        <v>1</v>
      </c>
      <c r="AH105" s="1453">
        <f t="shared" si="64"/>
        <v>1387.05</v>
      </c>
    </row>
    <row r="106" spans="1:34" ht="15.75" customHeight="1">
      <c r="A106" s="1890" t="s">
        <v>99</v>
      </c>
      <c r="B106" s="1891" t="s">
        <v>187</v>
      </c>
      <c r="C106" s="1904"/>
      <c r="D106" s="1904"/>
      <c r="E106" s="1904"/>
      <c r="F106" s="1905"/>
      <c r="G106" s="1894">
        <f>SUBTOTAL(9,G107:G120)</f>
        <v>6149884.5599999996</v>
      </c>
      <c r="H106" s="1894"/>
      <c r="I106" s="1894">
        <f>SUBTOTAL(9,I107:I120)</f>
        <v>4416104.6199999992</v>
      </c>
      <c r="J106" s="1894"/>
      <c r="K106" s="1894">
        <f t="shared" ref="K106:Y106" si="84">SUBTOTAL(9,K107:K120)</f>
        <v>81930.05</v>
      </c>
      <c r="L106" s="1894"/>
      <c r="M106" s="1894">
        <f t="shared" si="84"/>
        <v>64695.26</v>
      </c>
      <c r="N106" s="1894"/>
      <c r="O106" s="1894">
        <f t="shared" si="84"/>
        <v>56688.539999999994</v>
      </c>
      <c r="P106" s="1894"/>
      <c r="Q106" s="1894">
        <f t="shared" si="84"/>
        <v>14129.28</v>
      </c>
      <c r="R106" s="1894"/>
      <c r="S106" s="1894">
        <f t="shared" si="84"/>
        <v>0</v>
      </c>
      <c r="T106" s="1894"/>
      <c r="U106" s="1894">
        <f t="shared" si="84"/>
        <v>0</v>
      </c>
      <c r="V106" s="1894"/>
      <c r="W106" s="1894">
        <f t="shared" ref="W106" si="85">SUBTOTAL(9,W107:W120)</f>
        <v>1240641.8400000001</v>
      </c>
      <c r="X106" s="1894"/>
      <c r="Y106" s="1894">
        <f t="shared" si="84"/>
        <v>105717.2487371686</v>
      </c>
      <c r="Z106" s="1894"/>
      <c r="AA106" s="1894">
        <f>SUBTOTAL(9,AA107:AA120)</f>
        <v>119140.71000000006</v>
      </c>
      <c r="AB106" s="1894"/>
      <c r="AC106" s="1894">
        <f>SUBTOTAL(9,AC107:AC120)</f>
        <v>4535245.33</v>
      </c>
      <c r="AD106" s="1894"/>
      <c r="AE106" s="1894">
        <f t="shared" ref="AE106" si="86">SUBTOTAL(9,AE107:AE120)</f>
        <v>6233352.2000000002</v>
      </c>
      <c r="AF106" s="38"/>
      <c r="AG106" s="1452"/>
      <c r="AH106" s="1453">
        <f t="shared" si="64"/>
        <v>0</v>
      </c>
    </row>
    <row r="107" spans="1:34" ht="24" customHeight="1" outlineLevel="1">
      <c r="A107" s="66" t="s">
        <v>100</v>
      </c>
      <c r="B107" s="67">
        <v>6817851</v>
      </c>
      <c r="C107" s="59" t="s">
        <v>188</v>
      </c>
      <c r="D107" s="68" t="s">
        <v>39</v>
      </c>
      <c r="E107" s="71">
        <v>4275.5279141835517</v>
      </c>
      <c r="F107" s="95">
        <v>839</v>
      </c>
      <c r="G107" s="57">
        <f t="shared" ref="G107:G120" si="87">ROUND(E107*F107,2)</f>
        <v>3587167.92</v>
      </c>
      <c r="H107" s="1900">
        <v>493.96000000000004</v>
      </c>
      <c r="I107" s="1906">
        <f t="shared" ref="I107:I120" si="88">ROUND((E107*H107),2)</f>
        <v>2111939.77</v>
      </c>
      <c r="J107" s="1906">
        <v>0</v>
      </c>
      <c r="K107" s="1898">
        <f t="shared" si="67"/>
        <v>0</v>
      </c>
      <c r="L107" s="1898"/>
      <c r="M107" s="1898">
        <f t="shared" si="37"/>
        <v>0</v>
      </c>
      <c r="N107" s="1898">
        <v>0</v>
      </c>
      <c r="O107" s="1898">
        <v>0</v>
      </c>
      <c r="P107" s="57">
        <v>0</v>
      </c>
      <c r="Q107" s="57">
        <v>0</v>
      </c>
      <c r="R107" s="719">
        <v>0</v>
      </c>
      <c r="S107" s="725">
        <f t="shared" si="63"/>
        <v>0</v>
      </c>
      <c r="T107" s="1906"/>
      <c r="U107" s="1906"/>
      <c r="V107" s="1906"/>
      <c r="W107" s="1906"/>
      <c r="X107" s="1906"/>
      <c r="Y107" s="720">
        <f t="shared" si="65"/>
        <v>0</v>
      </c>
      <c r="Z107" s="1900">
        <f>VLOOKUP(A107,'12 - CORPO'!$A$1:$R$1841,18,FALSE)</f>
        <v>0</v>
      </c>
      <c r="AA107" s="1959">
        <f>AC107-I107</f>
        <v>0</v>
      </c>
      <c r="AB107" s="1900">
        <f t="shared" ref="AB107:AB120" si="89">(H107+Z107)</f>
        <v>493.96000000000004</v>
      </c>
      <c r="AC107" s="1906">
        <f t="shared" ref="AC107:AC120" si="90">ROUND((E107*AB107),2)</f>
        <v>2111939.77</v>
      </c>
      <c r="AD107" s="720">
        <f t="shared" si="36"/>
        <v>839</v>
      </c>
      <c r="AE107" s="1906">
        <f t="shared" ref="AE107:AE120" si="91">ROUND((E107*AD107),2)</f>
        <v>3587167.92</v>
      </c>
      <c r="AF107" s="38"/>
      <c r="AG107" s="1452">
        <f t="shared" si="75"/>
        <v>345.03999999999996</v>
      </c>
      <c r="AH107" s="1453">
        <f t="shared" si="64"/>
        <v>1475228.1515098924</v>
      </c>
    </row>
    <row r="108" spans="1:34" ht="25.5" outlineLevel="1">
      <c r="A108" s="1344" t="s">
        <v>1061</v>
      </c>
      <c r="B108" s="1345">
        <v>6817852</v>
      </c>
      <c r="C108" s="1346" t="s">
        <v>1062</v>
      </c>
      <c r="D108" s="68" t="s">
        <v>39</v>
      </c>
      <c r="E108" s="71">
        <v>3465.48</v>
      </c>
      <c r="F108" s="722">
        <f>AD108</f>
        <v>358</v>
      </c>
      <c r="G108" s="57">
        <f t="shared" si="87"/>
        <v>1240641.8400000001</v>
      </c>
      <c r="H108" s="1954">
        <v>336</v>
      </c>
      <c r="I108" s="80">
        <f>ROUND((E108*H108),2)</f>
        <v>1164401.28</v>
      </c>
      <c r="J108" s="1955"/>
      <c r="K108" s="57"/>
      <c r="L108" s="57"/>
      <c r="M108" s="57">
        <f t="shared" si="37"/>
        <v>0</v>
      </c>
      <c r="N108" s="57"/>
      <c r="O108" s="57"/>
      <c r="P108" s="57"/>
      <c r="Q108" s="57"/>
      <c r="R108" s="719"/>
      <c r="S108" s="725"/>
      <c r="T108" s="1955"/>
      <c r="U108" s="1955"/>
      <c r="V108" s="1955">
        <v>358</v>
      </c>
      <c r="W108" s="1955">
        <f>V108*E108</f>
        <v>1240641.8400000001</v>
      </c>
      <c r="X108" s="1955"/>
      <c r="Y108" s="720">
        <f t="shared" si="65"/>
        <v>0</v>
      </c>
      <c r="Z108" s="719">
        <f>VLOOKUP(A108,'12 - CORPO'!$A$1:$R$1841,18,FALSE)</f>
        <v>22</v>
      </c>
      <c r="AA108" s="71">
        <f>AC108-I108</f>
        <v>76240.560000000056</v>
      </c>
      <c r="AB108" s="1901">
        <f t="shared" si="89"/>
        <v>358</v>
      </c>
      <c r="AC108" s="80">
        <f t="shared" si="90"/>
        <v>1240641.8400000001</v>
      </c>
      <c r="AD108" s="720">
        <f>ROUND((J108+R108+L108+T108+N108+V108),5)-X108-P108</f>
        <v>358</v>
      </c>
      <c r="AE108" s="80">
        <f t="shared" si="91"/>
        <v>1240641.8400000001</v>
      </c>
      <c r="AF108" s="38"/>
      <c r="AG108" s="1452">
        <f>AD108-AB108</f>
        <v>0</v>
      </c>
      <c r="AH108" s="1453">
        <f t="shared" si="64"/>
        <v>0</v>
      </c>
    </row>
    <row r="109" spans="1:34" ht="26.25" customHeight="1" outlineLevel="1">
      <c r="A109" s="66" t="s">
        <v>101</v>
      </c>
      <c r="B109" s="67">
        <v>6817851</v>
      </c>
      <c r="C109" s="59" t="s">
        <v>189</v>
      </c>
      <c r="D109" s="68" t="s">
        <v>39</v>
      </c>
      <c r="E109" s="71">
        <v>5152.1472222222219</v>
      </c>
      <c r="F109" s="95">
        <v>18</v>
      </c>
      <c r="G109" s="57">
        <f t="shared" si="87"/>
        <v>92738.65</v>
      </c>
      <c r="H109" s="1901">
        <v>18</v>
      </c>
      <c r="I109" s="80">
        <f>ROUND((E109*H109),2)</f>
        <v>92738.65</v>
      </c>
      <c r="J109" s="80">
        <v>0</v>
      </c>
      <c r="K109" s="720">
        <f t="shared" si="67"/>
        <v>0</v>
      </c>
      <c r="L109" s="720"/>
      <c r="M109" s="720">
        <f t="shared" si="37"/>
        <v>0</v>
      </c>
      <c r="N109" s="720">
        <v>0</v>
      </c>
      <c r="O109" s="720">
        <v>0</v>
      </c>
      <c r="P109" s="720"/>
      <c r="Q109" s="720">
        <v>0</v>
      </c>
      <c r="R109" s="719"/>
      <c r="S109" s="725">
        <f t="shared" si="63"/>
        <v>0</v>
      </c>
      <c r="T109" s="80"/>
      <c r="U109" s="80"/>
      <c r="V109" s="80"/>
      <c r="W109" s="80"/>
      <c r="X109" s="80"/>
      <c r="Y109" s="720">
        <f t="shared" si="65"/>
        <v>0</v>
      </c>
      <c r="Z109" s="1901">
        <f>VLOOKUP(A109,'12 - CORPO'!$A$1:$R$1841,18,FALSE)</f>
        <v>0</v>
      </c>
      <c r="AA109" s="71">
        <f>AC109-I109</f>
        <v>0</v>
      </c>
      <c r="AB109" s="1901">
        <f t="shared" si="89"/>
        <v>18</v>
      </c>
      <c r="AC109" s="80">
        <f t="shared" si="90"/>
        <v>92738.65</v>
      </c>
      <c r="AD109" s="720">
        <f t="shared" ref="AD109:AD120" si="92">ROUND((F109+J109+R109+L109+T109+N109),5)-X109-P109</f>
        <v>18</v>
      </c>
      <c r="AE109" s="80">
        <f t="shared" si="91"/>
        <v>92738.65</v>
      </c>
      <c r="AF109" s="38"/>
      <c r="AG109" s="1452">
        <f t="shared" si="75"/>
        <v>0</v>
      </c>
      <c r="AH109" s="1453">
        <f t="shared" si="64"/>
        <v>0</v>
      </c>
    </row>
    <row r="110" spans="1:34" ht="25.5" outlineLevel="1">
      <c r="A110" s="66" t="s">
        <v>102</v>
      </c>
      <c r="B110" s="727">
        <v>1106057</v>
      </c>
      <c r="C110" s="1331" t="s">
        <v>190</v>
      </c>
      <c r="D110" s="68" t="s">
        <v>164</v>
      </c>
      <c r="E110" s="71">
        <v>355.32</v>
      </c>
      <c r="F110" s="95">
        <v>167.2</v>
      </c>
      <c r="G110" s="57">
        <f t="shared" si="87"/>
        <v>59409.5</v>
      </c>
      <c r="H110" s="1901">
        <v>54.931999999999995</v>
      </c>
      <c r="I110" s="80">
        <f t="shared" si="88"/>
        <v>19518.439999999999</v>
      </c>
      <c r="J110" s="80">
        <v>0</v>
      </c>
      <c r="K110" s="720">
        <f t="shared" si="67"/>
        <v>0</v>
      </c>
      <c r="L110" s="720"/>
      <c r="M110" s="720">
        <f t="shared" si="37"/>
        <v>0</v>
      </c>
      <c r="N110" s="720">
        <v>0</v>
      </c>
      <c r="O110" s="720">
        <v>0</v>
      </c>
      <c r="P110" s="720"/>
      <c r="Q110" s="720">
        <v>0</v>
      </c>
      <c r="R110" s="719"/>
      <c r="S110" s="725">
        <f t="shared" si="63"/>
        <v>0</v>
      </c>
      <c r="T110" s="80"/>
      <c r="U110" s="80"/>
      <c r="V110" s="80"/>
      <c r="W110" s="80"/>
      <c r="X110" s="80"/>
      <c r="Y110" s="720">
        <f t="shared" si="65"/>
        <v>0</v>
      </c>
      <c r="Z110" s="1901">
        <f>VLOOKUP(A110,'12 - CORPO'!$A$1:$R$1841,18,FALSE)</f>
        <v>77.28</v>
      </c>
      <c r="AA110" s="71">
        <f t="shared" ref="AA110:AA120" si="93">AC110-I110</f>
        <v>27459.13</v>
      </c>
      <c r="AB110" s="1901">
        <f t="shared" si="89"/>
        <v>132.21199999999999</v>
      </c>
      <c r="AC110" s="80">
        <f t="shared" si="90"/>
        <v>46977.57</v>
      </c>
      <c r="AD110" s="720">
        <f t="shared" si="92"/>
        <v>167.2</v>
      </c>
      <c r="AE110" s="80">
        <f t="shared" si="91"/>
        <v>59409.5</v>
      </c>
      <c r="AF110" s="38"/>
      <c r="AG110" s="1452">
        <f t="shared" si="75"/>
        <v>34.988</v>
      </c>
      <c r="AH110" s="1453">
        <f t="shared" si="64"/>
        <v>12431.936159999999</v>
      </c>
    </row>
    <row r="111" spans="1:34" ht="25.5" outlineLevel="1">
      <c r="A111" s="66" t="s">
        <v>103</v>
      </c>
      <c r="B111" s="727">
        <v>96541</v>
      </c>
      <c r="C111" s="59" t="s">
        <v>233</v>
      </c>
      <c r="D111" s="68" t="s">
        <v>151</v>
      </c>
      <c r="E111" s="71">
        <v>212.96</v>
      </c>
      <c r="F111" s="95">
        <v>84</v>
      </c>
      <c r="G111" s="57">
        <f t="shared" si="87"/>
        <v>17888.64</v>
      </c>
      <c r="H111" s="1901">
        <v>392.79699999999997</v>
      </c>
      <c r="I111" s="80">
        <f>ROUND((E111*H111),2)</f>
        <v>83650.05</v>
      </c>
      <c r="J111" s="80">
        <v>244.07999999999998</v>
      </c>
      <c r="K111" s="720">
        <f t="shared" si="67"/>
        <v>51979.28</v>
      </c>
      <c r="L111" s="720">
        <v>68.56</v>
      </c>
      <c r="M111" s="720">
        <f t="shared" si="37"/>
        <v>14600.54</v>
      </c>
      <c r="N111" s="720">
        <v>72.45</v>
      </c>
      <c r="O111" s="720">
        <v>15428.95</v>
      </c>
      <c r="P111" s="720"/>
      <c r="Q111" s="720">
        <v>0</v>
      </c>
      <c r="R111" s="719"/>
      <c r="S111" s="725">
        <f t="shared" si="63"/>
        <v>0</v>
      </c>
      <c r="T111" s="80"/>
      <c r="U111" s="80"/>
      <c r="V111" s="80"/>
      <c r="W111" s="80"/>
      <c r="X111" s="80"/>
      <c r="Y111" s="720">
        <f t="shared" si="65"/>
        <v>0</v>
      </c>
      <c r="Z111" s="1901">
        <f>VLOOKUP(A111,'12 - CORPO'!$A$1:$R$1841,18,FALSE)</f>
        <v>72.506666666666717</v>
      </c>
      <c r="AA111" s="71">
        <f t="shared" si="93"/>
        <v>15441.020000000004</v>
      </c>
      <c r="AB111" s="1901">
        <f>(H111+Z111)</f>
        <v>465.30366666666669</v>
      </c>
      <c r="AC111" s="80">
        <f>ROUND((E111*AB111),2)</f>
        <v>99091.07</v>
      </c>
      <c r="AD111" s="720">
        <f t="shared" si="92"/>
        <v>469.09</v>
      </c>
      <c r="AE111" s="80">
        <f t="shared" si="91"/>
        <v>99897.41</v>
      </c>
      <c r="AF111" s="38"/>
      <c r="AG111" s="1452">
        <f t="shared" si="75"/>
        <v>3.7863333333332889</v>
      </c>
      <c r="AH111" s="1453">
        <f t="shared" si="64"/>
        <v>806.3375466666572</v>
      </c>
    </row>
    <row r="112" spans="1:34" ht="25.5" outlineLevel="1">
      <c r="A112" s="66" t="s">
        <v>104</v>
      </c>
      <c r="B112" s="727">
        <v>1107890</v>
      </c>
      <c r="C112" s="59" t="s">
        <v>191</v>
      </c>
      <c r="D112" s="68" t="s">
        <v>164</v>
      </c>
      <c r="E112" s="71">
        <v>351.92</v>
      </c>
      <c r="F112" s="95">
        <v>416</v>
      </c>
      <c r="G112" s="57">
        <f t="shared" si="87"/>
        <v>146398.72</v>
      </c>
      <c r="H112" s="1901">
        <v>372.17505000000006</v>
      </c>
      <c r="I112" s="80">
        <f t="shared" si="88"/>
        <v>130975.84</v>
      </c>
      <c r="J112" s="80">
        <v>0</v>
      </c>
      <c r="K112" s="720">
        <f t="shared" si="67"/>
        <v>0</v>
      </c>
      <c r="L112" s="720"/>
      <c r="M112" s="720">
        <f t="shared" ref="M112:M144" si="94">ROUND((E112*L112),2)</f>
        <v>0</v>
      </c>
      <c r="N112" s="720"/>
      <c r="O112" s="720">
        <v>0</v>
      </c>
      <c r="P112" s="720"/>
      <c r="Q112" s="720">
        <v>0</v>
      </c>
      <c r="R112" s="719"/>
      <c r="S112" s="725">
        <f t="shared" si="63"/>
        <v>0</v>
      </c>
      <c r="T112" s="80"/>
      <c r="U112" s="80"/>
      <c r="V112" s="80"/>
      <c r="W112" s="80"/>
      <c r="X112" s="80"/>
      <c r="Y112" s="720">
        <f>X112*E112</f>
        <v>0</v>
      </c>
      <c r="Z112" s="1901">
        <f>VLOOKUP(A112,'12 - CORPO'!$A$1:$R$1841,18,FALSE)</f>
        <v>0</v>
      </c>
      <c r="AA112" s="71">
        <f t="shared" si="93"/>
        <v>0</v>
      </c>
      <c r="AB112" s="1901">
        <f>(H112+Z112)</f>
        <v>372.17505000000006</v>
      </c>
      <c r="AC112" s="80">
        <f t="shared" si="90"/>
        <v>130975.84</v>
      </c>
      <c r="AD112" s="720">
        <f t="shared" si="92"/>
        <v>416</v>
      </c>
      <c r="AE112" s="80">
        <f t="shared" si="91"/>
        <v>146398.72</v>
      </c>
      <c r="AF112" s="38"/>
      <c r="AG112" s="1452">
        <f t="shared" si="75"/>
        <v>43.824949999999944</v>
      </c>
      <c r="AH112" s="1453">
        <f t="shared" si="64"/>
        <v>15422.876403999981</v>
      </c>
    </row>
    <row r="113" spans="1:34" outlineLevel="1">
      <c r="A113" s="66" t="s">
        <v>105</v>
      </c>
      <c r="B113" s="67">
        <v>25950</v>
      </c>
      <c r="C113" s="59" t="s">
        <v>192</v>
      </c>
      <c r="D113" s="68" t="s">
        <v>164</v>
      </c>
      <c r="E113" s="71">
        <v>38.270000000000003</v>
      </c>
      <c r="F113" s="95">
        <v>416</v>
      </c>
      <c r="G113" s="57">
        <f t="shared" si="87"/>
        <v>15920.32</v>
      </c>
      <c r="H113" s="1901">
        <v>369.45505000000003</v>
      </c>
      <c r="I113" s="80">
        <f t="shared" si="88"/>
        <v>14139.04</v>
      </c>
      <c r="J113" s="80">
        <v>0</v>
      </c>
      <c r="K113" s="720">
        <f t="shared" si="67"/>
        <v>0</v>
      </c>
      <c r="L113" s="720"/>
      <c r="M113" s="720">
        <f t="shared" si="94"/>
        <v>0</v>
      </c>
      <c r="N113" s="720"/>
      <c r="O113" s="720">
        <v>0</v>
      </c>
      <c r="P113" s="720"/>
      <c r="Q113" s="720">
        <v>0</v>
      </c>
      <c r="R113" s="719"/>
      <c r="S113" s="725">
        <f t="shared" si="63"/>
        <v>0</v>
      </c>
      <c r="T113" s="80"/>
      <c r="U113" s="80"/>
      <c r="V113" s="80"/>
      <c r="W113" s="80"/>
      <c r="X113" s="80"/>
      <c r="Y113" s="720">
        <f t="shared" si="65"/>
        <v>0</v>
      </c>
      <c r="Z113" s="1901">
        <f>VLOOKUP(A113,'12 - CORPO'!$A$1:$R$1841,18,FALSE)</f>
        <v>0</v>
      </c>
      <c r="AA113" s="71">
        <f t="shared" si="93"/>
        <v>0</v>
      </c>
      <c r="AB113" s="1901">
        <f t="shared" si="89"/>
        <v>369.45505000000003</v>
      </c>
      <c r="AC113" s="80">
        <f t="shared" si="90"/>
        <v>14139.04</v>
      </c>
      <c r="AD113" s="720">
        <f t="shared" si="92"/>
        <v>416</v>
      </c>
      <c r="AE113" s="80">
        <f t="shared" si="91"/>
        <v>15920.32</v>
      </c>
      <c r="AF113" s="38"/>
      <c r="AG113" s="1452">
        <f t="shared" si="75"/>
        <v>46.544949999999972</v>
      </c>
      <c r="AH113" s="1453">
        <f t="shared" si="64"/>
        <v>1781.275236499999</v>
      </c>
    </row>
    <row r="114" spans="1:34" outlineLevel="1">
      <c r="A114" s="66" t="s">
        <v>106</v>
      </c>
      <c r="B114" s="67">
        <v>407819</v>
      </c>
      <c r="C114" s="59" t="s">
        <v>196</v>
      </c>
      <c r="D114" s="68" t="s">
        <v>195</v>
      </c>
      <c r="E114" s="71">
        <v>12.255699381761978</v>
      </c>
      <c r="F114" s="95">
        <v>2588</v>
      </c>
      <c r="G114" s="57">
        <f t="shared" si="87"/>
        <v>31717.75</v>
      </c>
      <c r="H114" s="1901">
        <v>1793.8319999999999</v>
      </c>
      <c r="I114" s="80">
        <f t="shared" si="88"/>
        <v>21984.67</v>
      </c>
      <c r="J114" s="80">
        <v>0</v>
      </c>
      <c r="K114" s="720">
        <f t="shared" si="67"/>
        <v>0</v>
      </c>
      <c r="L114" s="720"/>
      <c r="M114" s="720">
        <f t="shared" si="94"/>
        <v>0</v>
      </c>
      <c r="N114" s="720">
        <v>0</v>
      </c>
      <c r="O114" s="720">
        <v>0</v>
      </c>
      <c r="P114" s="720"/>
      <c r="Q114" s="720">
        <v>0</v>
      </c>
      <c r="R114" s="719"/>
      <c r="S114" s="725">
        <f t="shared" si="63"/>
        <v>0</v>
      </c>
      <c r="T114" s="80"/>
      <c r="U114" s="80"/>
      <c r="V114" s="80"/>
      <c r="W114" s="80"/>
      <c r="X114" s="80"/>
      <c r="Y114" s="720">
        <f t="shared" si="65"/>
        <v>0</v>
      </c>
      <c r="Z114" s="1901">
        <f>VLOOKUP(A114,'12 - CORPO'!$A$1:$R$1841,18,FALSE)</f>
        <v>0</v>
      </c>
      <c r="AA114" s="71">
        <f t="shared" si="93"/>
        <v>0</v>
      </c>
      <c r="AB114" s="1901">
        <f t="shared" si="89"/>
        <v>1793.8319999999999</v>
      </c>
      <c r="AC114" s="80">
        <f t="shared" si="90"/>
        <v>21984.67</v>
      </c>
      <c r="AD114" s="720">
        <f t="shared" si="92"/>
        <v>2588</v>
      </c>
      <c r="AE114" s="80">
        <f t="shared" si="91"/>
        <v>31717.75</v>
      </c>
      <c r="AF114" s="38"/>
      <c r="AG114" s="1452">
        <f t="shared" si="75"/>
        <v>794.16800000000012</v>
      </c>
      <c r="AH114" s="1453">
        <f t="shared" si="64"/>
        <v>9733.0842666151475</v>
      </c>
    </row>
    <row r="115" spans="1:34" ht="25.5" outlineLevel="1">
      <c r="A115" s="66" t="s">
        <v>107</v>
      </c>
      <c r="B115" s="727">
        <v>100322</v>
      </c>
      <c r="C115" s="59" t="s">
        <v>197</v>
      </c>
      <c r="D115" s="68" t="s">
        <v>164</v>
      </c>
      <c r="E115" s="725">
        <v>139.65105974447974</v>
      </c>
      <c r="F115" s="95">
        <v>1003.2</v>
      </c>
      <c r="G115" s="57">
        <f t="shared" si="87"/>
        <v>140097.94</v>
      </c>
      <c r="H115" s="719">
        <v>540.59439999999995</v>
      </c>
      <c r="I115" s="720">
        <f t="shared" si="88"/>
        <v>75494.58</v>
      </c>
      <c r="J115" s="720">
        <v>0</v>
      </c>
      <c r="K115" s="720">
        <f t="shared" si="67"/>
        <v>0</v>
      </c>
      <c r="L115" s="720"/>
      <c r="M115" s="720">
        <f t="shared" si="94"/>
        <v>0</v>
      </c>
      <c r="N115" s="720">
        <v>295.45</v>
      </c>
      <c r="O115" s="720">
        <v>41259.589999999997</v>
      </c>
      <c r="P115" s="720"/>
      <c r="Q115" s="720">
        <v>0</v>
      </c>
      <c r="R115" s="720"/>
      <c r="S115" s="725">
        <f>E115*R115</f>
        <v>0</v>
      </c>
      <c r="T115" s="720"/>
      <c r="U115" s="720"/>
      <c r="V115" s="720"/>
      <c r="W115" s="720"/>
      <c r="X115" s="720">
        <v>757.01</v>
      </c>
      <c r="Y115" s="720">
        <f t="shared" si="65"/>
        <v>105717.2487371686</v>
      </c>
      <c r="Z115" s="719">
        <f>VLOOKUP(A115,'12 - CORPO'!$A$1:$R$1841,18,FALSE)</f>
        <v>0</v>
      </c>
      <c r="AA115" s="71">
        <f>AC115-I115</f>
        <v>0</v>
      </c>
      <c r="AB115" s="719">
        <f>(H115+Z115)</f>
        <v>540.59439999999995</v>
      </c>
      <c r="AC115" s="720">
        <f t="shared" si="90"/>
        <v>75494.58</v>
      </c>
      <c r="AD115" s="720">
        <f t="shared" si="92"/>
        <v>541.6400000000001</v>
      </c>
      <c r="AE115" s="720">
        <f t="shared" si="91"/>
        <v>75640.600000000006</v>
      </c>
      <c r="AF115" s="38"/>
      <c r="AG115" s="1452">
        <f t="shared" si="75"/>
        <v>1.0456000000001495</v>
      </c>
      <c r="AH115" s="1453">
        <f t="shared" si="64"/>
        <v>146.01914806884889</v>
      </c>
    </row>
    <row r="116" spans="1:34" outlineLevel="1">
      <c r="A116" s="66" t="s">
        <v>108</v>
      </c>
      <c r="B116" s="67">
        <v>407820</v>
      </c>
      <c r="C116" s="59" t="s">
        <v>234</v>
      </c>
      <c r="D116" s="68" t="s">
        <v>195</v>
      </c>
      <c r="E116" s="725">
        <v>12.25569960237077</v>
      </c>
      <c r="F116" s="95">
        <v>13329</v>
      </c>
      <c r="G116" s="57">
        <f t="shared" si="87"/>
        <v>163356.22</v>
      </c>
      <c r="H116" s="719">
        <v>13329</v>
      </c>
      <c r="I116" s="720">
        <f t="shared" si="88"/>
        <v>163356.22</v>
      </c>
      <c r="J116" s="720">
        <v>0</v>
      </c>
      <c r="K116" s="720">
        <f>ROUND((E116*J116),2)</f>
        <v>0</v>
      </c>
      <c r="L116" s="720"/>
      <c r="M116" s="720">
        <f t="shared" si="94"/>
        <v>0</v>
      </c>
      <c r="N116" s="720">
        <v>0</v>
      </c>
      <c r="O116" s="720">
        <v>0</v>
      </c>
      <c r="P116" s="720"/>
      <c r="Q116" s="720">
        <v>0</v>
      </c>
      <c r="R116" s="719"/>
      <c r="S116" s="725">
        <f t="shared" si="63"/>
        <v>0</v>
      </c>
      <c r="T116" s="720"/>
      <c r="U116" s="720"/>
      <c r="V116" s="720"/>
      <c r="W116" s="720"/>
      <c r="X116" s="720"/>
      <c r="Y116" s="720">
        <f t="shared" si="65"/>
        <v>0</v>
      </c>
      <c r="Z116" s="719"/>
      <c r="AA116" s="725">
        <f>AC116-I116</f>
        <v>0</v>
      </c>
      <c r="AB116" s="719">
        <f>(H116+Z116)</f>
        <v>13329</v>
      </c>
      <c r="AC116" s="720">
        <f t="shared" si="90"/>
        <v>163356.22</v>
      </c>
      <c r="AD116" s="720">
        <f t="shared" si="92"/>
        <v>13329</v>
      </c>
      <c r="AE116" s="720">
        <f>ROUND((E116*AD116),2)</f>
        <v>163356.22</v>
      </c>
      <c r="AF116" s="38"/>
      <c r="AG116" s="1452">
        <f t="shared" si="75"/>
        <v>0</v>
      </c>
      <c r="AH116" s="1453">
        <f t="shared" si="64"/>
        <v>0</v>
      </c>
    </row>
    <row r="117" spans="1:34" outlineLevel="1">
      <c r="A117" s="66" t="s">
        <v>109</v>
      </c>
      <c r="B117" s="727">
        <v>2003864</v>
      </c>
      <c r="C117" s="59" t="s">
        <v>198</v>
      </c>
      <c r="D117" s="68" t="s">
        <v>199</v>
      </c>
      <c r="E117" s="725">
        <v>17.840000490773463</v>
      </c>
      <c r="F117" s="96">
        <v>1440</v>
      </c>
      <c r="G117" s="57">
        <f t="shared" si="87"/>
        <v>25689.599999999999</v>
      </c>
      <c r="H117" s="719">
        <v>4075</v>
      </c>
      <c r="I117" s="720">
        <f t="shared" si="88"/>
        <v>72698</v>
      </c>
      <c r="J117" s="720">
        <v>619.19999999999982</v>
      </c>
      <c r="K117" s="720">
        <f>ROUND((E117*J117),2)</f>
        <v>11046.53</v>
      </c>
      <c r="L117" s="720">
        <v>2808</v>
      </c>
      <c r="M117" s="720">
        <f t="shared" si="94"/>
        <v>50094.720000000001</v>
      </c>
      <c r="N117" s="720"/>
      <c r="O117" s="720">
        <v>0</v>
      </c>
      <c r="P117" s="1949">
        <v>792</v>
      </c>
      <c r="Q117" s="1949">
        <v>14129.28</v>
      </c>
      <c r="R117" s="719"/>
      <c r="S117" s="725">
        <f t="shared" si="63"/>
        <v>0</v>
      </c>
      <c r="T117" s="720"/>
      <c r="U117" s="720"/>
      <c r="V117" s="720"/>
      <c r="W117" s="720"/>
      <c r="X117" s="720"/>
      <c r="Y117" s="720">
        <f t="shared" si="65"/>
        <v>0</v>
      </c>
      <c r="Z117" s="719">
        <f>VLOOKUP(A117,'12 - CORPO'!$A$1:$R$1841,18,FALSE)</f>
        <v>0</v>
      </c>
      <c r="AA117" s="725">
        <f>AC117-I117</f>
        <v>0</v>
      </c>
      <c r="AB117" s="719">
        <f>(H117+Z117)</f>
        <v>4075</v>
      </c>
      <c r="AC117" s="720">
        <f t="shared" si="90"/>
        <v>72698</v>
      </c>
      <c r="AD117" s="720">
        <f t="shared" si="92"/>
        <v>4075.2</v>
      </c>
      <c r="AE117" s="720">
        <f t="shared" si="91"/>
        <v>72701.570000000007</v>
      </c>
      <c r="AF117" s="38"/>
      <c r="AG117" s="1452">
        <f t="shared" si="75"/>
        <v>0.1999999999998181</v>
      </c>
      <c r="AH117" s="1453">
        <f t="shared" si="64"/>
        <v>3.5680000981514475</v>
      </c>
    </row>
    <row r="118" spans="1:34" outlineLevel="1">
      <c r="A118" s="66" t="s">
        <v>110</v>
      </c>
      <c r="B118" s="67">
        <v>7060100030</v>
      </c>
      <c r="C118" s="59" t="s">
        <v>200</v>
      </c>
      <c r="D118" s="68" t="s">
        <v>156</v>
      </c>
      <c r="E118" s="71">
        <v>4249.8</v>
      </c>
      <c r="F118" s="96">
        <v>6</v>
      </c>
      <c r="G118" s="57">
        <f t="shared" si="87"/>
        <v>25498.799999999999</v>
      </c>
      <c r="H118" s="1901">
        <v>0</v>
      </c>
      <c r="I118" s="80">
        <f>ROUND((E118*H118),2)</f>
        <v>0</v>
      </c>
      <c r="J118" s="80">
        <v>0</v>
      </c>
      <c r="K118" s="720">
        <f t="shared" si="67"/>
        <v>0</v>
      </c>
      <c r="L118" s="720"/>
      <c r="M118" s="720">
        <f t="shared" si="94"/>
        <v>0</v>
      </c>
      <c r="N118" s="720">
        <v>0</v>
      </c>
      <c r="O118" s="720">
        <v>0</v>
      </c>
      <c r="P118" s="720">
        <v>0</v>
      </c>
      <c r="Q118" s="720">
        <v>0</v>
      </c>
      <c r="R118" s="719">
        <v>0</v>
      </c>
      <c r="S118" s="725">
        <f t="shared" si="63"/>
        <v>0</v>
      </c>
      <c r="T118" s="80"/>
      <c r="U118" s="80"/>
      <c r="V118" s="80"/>
      <c r="W118" s="80"/>
      <c r="X118" s="80"/>
      <c r="Y118" s="720">
        <f t="shared" si="65"/>
        <v>0</v>
      </c>
      <c r="Z118" s="1901">
        <f>VLOOKUP(A118,'12 - CORPO'!$A$1:$R$1841,18,FALSE)</f>
        <v>0</v>
      </c>
      <c r="AA118" s="71">
        <f t="shared" si="93"/>
        <v>0</v>
      </c>
      <c r="AB118" s="1901">
        <f>(H118+Z118)</f>
        <v>0</v>
      </c>
      <c r="AC118" s="80">
        <f>ROUND((E118*AB118),2)</f>
        <v>0</v>
      </c>
      <c r="AD118" s="720">
        <f t="shared" si="92"/>
        <v>6</v>
      </c>
      <c r="AE118" s="80">
        <f>ROUND((E118*AD118),2)</f>
        <v>25498.799999999999</v>
      </c>
      <c r="AF118" s="38"/>
      <c r="AG118" s="1452">
        <f t="shared" si="75"/>
        <v>6</v>
      </c>
      <c r="AH118" s="1453">
        <f t="shared" si="64"/>
        <v>25498.800000000003</v>
      </c>
    </row>
    <row r="119" spans="1:34" outlineLevel="1">
      <c r="A119" s="66" t="s">
        <v>111</v>
      </c>
      <c r="B119" s="67">
        <v>7050100030</v>
      </c>
      <c r="C119" s="59" t="s">
        <v>201</v>
      </c>
      <c r="D119" s="68" t="s">
        <v>151</v>
      </c>
      <c r="E119" s="71">
        <v>47.593764495706139</v>
      </c>
      <c r="F119" s="95">
        <v>5984</v>
      </c>
      <c r="G119" s="57">
        <f t="shared" si="87"/>
        <v>284801.09000000003</v>
      </c>
      <c r="H119" s="1901">
        <v>6056.08</v>
      </c>
      <c r="I119" s="80">
        <f>ROUND((E119*H119),2)</f>
        <v>288231.65000000002</v>
      </c>
      <c r="J119" s="80">
        <v>397.19999999999982</v>
      </c>
      <c r="K119" s="720">
        <f t="shared" si="67"/>
        <v>18904.240000000002</v>
      </c>
      <c r="L119" s="720"/>
      <c r="M119" s="720">
        <f t="shared" si="94"/>
        <v>0</v>
      </c>
      <c r="N119" s="720"/>
      <c r="O119" s="720">
        <v>0</v>
      </c>
      <c r="P119" s="720"/>
      <c r="Q119" s="720">
        <v>0</v>
      </c>
      <c r="R119" s="719"/>
      <c r="S119" s="725">
        <f t="shared" si="63"/>
        <v>0</v>
      </c>
      <c r="T119" s="80"/>
      <c r="U119" s="80"/>
      <c r="V119" s="80"/>
      <c r="W119" s="80"/>
      <c r="X119" s="80"/>
      <c r="Y119" s="720">
        <f>X119*E119</f>
        <v>0</v>
      </c>
      <c r="Z119" s="1901">
        <f>VLOOKUP(A119,'12 - CORPO'!$A$1:$R$1841,18,FALSE)</f>
        <v>0</v>
      </c>
      <c r="AA119" s="71">
        <f t="shared" si="93"/>
        <v>0</v>
      </c>
      <c r="AB119" s="1901">
        <f t="shared" si="89"/>
        <v>6056.08</v>
      </c>
      <c r="AC119" s="80">
        <f>ROUND((E119*AB119),2)</f>
        <v>288231.65000000002</v>
      </c>
      <c r="AD119" s="720">
        <f t="shared" si="92"/>
        <v>6381.2</v>
      </c>
      <c r="AE119" s="80">
        <f t="shared" si="91"/>
        <v>303705.33</v>
      </c>
      <c r="AF119" s="38"/>
      <c r="AG119" s="1452">
        <f t="shared" si="75"/>
        <v>325.11999999999989</v>
      </c>
      <c r="AH119" s="1453">
        <f t="shared" si="64"/>
        <v>15473.684712843975</v>
      </c>
    </row>
    <row r="120" spans="1:34" outlineLevel="1">
      <c r="A120" s="84" t="s">
        <v>112</v>
      </c>
      <c r="B120" s="85" t="s">
        <v>193</v>
      </c>
      <c r="C120" s="86" t="s">
        <v>194</v>
      </c>
      <c r="D120" s="81" t="s">
        <v>195</v>
      </c>
      <c r="E120" s="82">
        <v>22.094435427937302</v>
      </c>
      <c r="F120" s="97">
        <v>14418</v>
      </c>
      <c r="G120" s="1953">
        <f t="shared" si="87"/>
        <v>318557.57</v>
      </c>
      <c r="H120" s="1903">
        <v>8010</v>
      </c>
      <c r="I120" s="79">
        <f t="shared" si="88"/>
        <v>176976.43</v>
      </c>
      <c r="J120" s="79"/>
      <c r="K120" s="78">
        <f t="shared" si="67"/>
        <v>0</v>
      </c>
      <c r="L120" s="78"/>
      <c r="M120" s="78">
        <f t="shared" si="94"/>
        <v>0</v>
      </c>
      <c r="N120" s="78">
        <v>0</v>
      </c>
      <c r="O120" s="78">
        <v>0</v>
      </c>
      <c r="P120" s="1178"/>
      <c r="Q120" s="1178">
        <v>0</v>
      </c>
      <c r="R120" s="719"/>
      <c r="S120" s="725">
        <f t="shared" si="63"/>
        <v>0</v>
      </c>
      <c r="T120" s="79"/>
      <c r="U120" s="79"/>
      <c r="V120" s="79"/>
      <c r="W120" s="79"/>
      <c r="X120" s="79"/>
      <c r="Y120" s="720">
        <f t="shared" si="65"/>
        <v>0</v>
      </c>
      <c r="Z120" s="1903">
        <f>VLOOKUP(A120,'12 - CORPO'!$A$1:$R$1841,18,FALSE)</f>
        <v>0</v>
      </c>
      <c r="AA120" s="71">
        <f t="shared" si="93"/>
        <v>0</v>
      </c>
      <c r="AB120" s="1903">
        <f t="shared" si="89"/>
        <v>8010</v>
      </c>
      <c r="AC120" s="79">
        <f t="shared" si="90"/>
        <v>176976.43</v>
      </c>
      <c r="AD120" s="720">
        <f t="shared" si="92"/>
        <v>14418</v>
      </c>
      <c r="AE120" s="79">
        <f t="shared" si="91"/>
        <v>318557.57</v>
      </c>
      <c r="AF120" s="38"/>
      <c r="AG120" s="1452">
        <f t="shared" si="75"/>
        <v>6408</v>
      </c>
      <c r="AH120" s="1453">
        <f t="shared" si="64"/>
        <v>141581.14222222223</v>
      </c>
    </row>
    <row r="121" spans="1:34" outlineLevel="1">
      <c r="A121" s="1960"/>
      <c r="B121" s="1961"/>
      <c r="C121" s="1937" t="s">
        <v>235</v>
      </c>
      <c r="D121" s="1962"/>
      <c r="E121" s="1963"/>
      <c r="F121" s="1964"/>
      <c r="G121" s="1916">
        <f>SUBTOTAL(9,$G$73:$G$120)</f>
        <v>7623026.7799999993</v>
      </c>
      <c r="H121" s="1916"/>
      <c r="I121" s="1916">
        <f t="shared" ref="I121:AC121" si="95">SUBTOTAL(9,$G$73:$G$120)</f>
        <v>7623026.7799999993</v>
      </c>
      <c r="J121" s="1916">
        <f t="shared" si="95"/>
        <v>7623026.7799999993</v>
      </c>
      <c r="K121" s="1916">
        <f t="shared" si="95"/>
        <v>7623026.7799999993</v>
      </c>
      <c r="L121" s="1916">
        <f t="shared" si="95"/>
        <v>7623026.7799999993</v>
      </c>
      <c r="M121" s="1916">
        <f t="shared" si="95"/>
        <v>7623026.7799999993</v>
      </c>
      <c r="N121" s="1916">
        <f t="shared" si="95"/>
        <v>7623026.7799999993</v>
      </c>
      <c r="O121" s="1916">
        <f t="shared" si="95"/>
        <v>7623026.7799999993</v>
      </c>
      <c r="P121" s="1916">
        <f t="shared" si="95"/>
        <v>7623026.7799999993</v>
      </c>
      <c r="Q121" s="1916">
        <f t="shared" si="95"/>
        <v>7623026.7799999993</v>
      </c>
      <c r="R121" s="1916">
        <f t="shared" si="95"/>
        <v>7623026.7799999993</v>
      </c>
      <c r="S121" s="1916">
        <f t="shared" si="95"/>
        <v>7623026.7799999993</v>
      </c>
      <c r="T121" s="1916">
        <f t="shared" si="95"/>
        <v>7623026.7799999993</v>
      </c>
      <c r="U121" s="1916">
        <f t="shared" si="95"/>
        <v>7623026.7799999993</v>
      </c>
      <c r="V121" s="1916"/>
      <c r="W121" s="1916">
        <f t="shared" si="95"/>
        <v>7623026.7799999993</v>
      </c>
      <c r="X121" s="1916">
        <f t="shared" si="95"/>
        <v>7623026.7799999993</v>
      </c>
      <c r="Y121" s="1916">
        <f t="shared" si="95"/>
        <v>7623026.7799999993</v>
      </c>
      <c r="Z121" s="1916"/>
      <c r="AA121" s="1916">
        <f>SUBTOTAL(9,$AA$73:$AA$120)</f>
        <v>100340.93000000009</v>
      </c>
      <c r="AB121" s="1916"/>
      <c r="AC121" s="1916">
        <f t="shared" si="95"/>
        <v>7623026.7799999993</v>
      </c>
      <c r="AD121" s="1916"/>
      <c r="AE121" s="1894">
        <f>SUBTOTAL(9,AE73:AE120)</f>
        <v>7869870.4300000006</v>
      </c>
      <c r="AF121" s="38"/>
      <c r="AG121" s="1452">
        <f t="shared" si="75"/>
        <v>0</v>
      </c>
      <c r="AH121" s="1453">
        <f t="shared" si="64"/>
        <v>0</v>
      </c>
    </row>
    <row r="122" spans="1:34" outlineLevel="1">
      <c r="A122" s="1965" t="s">
        <v>482</v>
      </c>
      <c r="B122" s="1966" t="s">
        <v>483</v>
      </c>
      <c r="C122" s="1967" t="s">
        <v>484</v>
      </c>
      <c r="D122" s="1968"/>
      <c r="E122" s="1887"/>
      <c r="F122" s="1887"/>
      <c r="G122" s="1887"/>
      <c r="H122" s="1887"/>
      <c r="I122" s="1887"/>
      <c r="J122" s="1887"/>
      <c r="K122" s="1887"/>
      <c r="L122" s="1887"/>
      <c r="M122" s="1887"/>
      <c r="N122" s="1887"/>
      <c r="O122" s="1887"/>
      <c r="P122" s="1887"/>
      <c r="Q122" s="1887"/>
      <c r="R122" s="1887"/>
      <c r="S122" s="1887"/>
      <c r="T122" s="1887"/>
      <c r="U122" s="1887"/>
      <c r="V122" s="1887"/>
      <c r="W122" s="1887"/>
      <c r="X122" s="1887"/>
      <c r="Y122" s="1887"/>
      <c r="Z122" s="1887"/>
      <c r="AA122" s="1887"/>
      <c r="AB122" s="1887"/>
      <c r="AC122" s="1887"/>
      <c r="AD122" s="1887"/>
      <c r="AE122" s="1887"/>
      <c r="AF122" s="38"/>
      <c r="AG122" s="1452">
        <f t="shared" si="75"/>
        <v>0</v>
      </c>
      <c r="AH122" s="1453">
        <f t="shared" si="64"/>
        <v>0</v>
      </c>
    </row>
    <row r="123" spans="1:34" outlineLevel="1">
      <c r="A123" s="1061" t="s">
        <v>429</v>
      </c>
      <c r="B123" s="1062">
        <v>42764</v>
      </c>
      <c r="C123" s="1786" t="s">
        <v>462</v>
      </c>
      <c r="D123" s="1969" t="s">
        <v>144</v>
      </c>
      <c r="E123" s="1948">
        <v>673.87</v>
      </c>
      <c r="F123" s="1222">
        <f>AD123</f>
        <v>24</v>
      </c>
      <c r="G123" s="57">
        <f t="shared" ref="G123:G155" si="96">ROUND(E123*F123,2)</f>
        <v>16172.88</v>
      </c>
      <c r="H123" s="1223">
        <v>5</v>
      </c>
      <c r="I123" s="720">
        <f>ROUND((E123*H123),2)</f>
        <v>3369.35</v>
      </c>
      <c r="J123" s="1970"/>
      <c r="K123" s="1970"/>
      <c r="L123" s="1224">
        <v>0</v>
      </c>
      <c r="M123" s="57">
        <f t="shared" si="94"/>
        <v>0</v>
      </c>
      <c r="N123" s="1225">
        <v>19</v>
      </c>
      <c r="O123" s="57">
        <v>12803.53</v>
      </c>
      <c r="P123" s="57"/>
      <c r="Q123" s="57"/>
      <c r="R123" s="1223">
        <v>5</v>
      </c>
      <c r="S123" s="1899">
        <f>E123*R123</f>
        <v>3369.35</v>
      </c>
      <c r="T123" s="1948"/>
      <c r="U123" s="57">
        <f t="shared" ref="U123:U133" si="97">ROUND((E123*T123),2)</f>
        <v>0</v>
      </c>
      <c r="V123" s="1948"/>
      <c r="W123" s="57">
        <f t="shared" ref="W123:W133" si="98">ROUND((G123*V123),2)</f>
        <v>0</v>
      </c>
      <c r="X123" s="1899"/>
      <c r="Y123" s="57">
        <f t="shared" si="65"/>
        <v>0</v>
      </c>
      <c r="Z123" s="1971">
        <f>VLOOKUP(A123,'12 - CORPO'!$A$1:$R$1841,18,FALSE)</f>
        <v>5</v>
      </c>
      <c r="AA123" s="1899">
        <f>AC123-I123</f>
        <v>3369.35</v>
      </c>
      <c r="AB123" s="1223">
        <f t="shared" ref="AB123:AB155" si="99">(H123+Z123)</f>
        <v>10</v>
      </c>
      <c r="AC123" s="57">
        <f>E123*AB123</f>
        <v>6738.7</v>
      </c>
      <c r="AD123" s="1972">
        <f>ROUND((J123+R123+L123+T123+N123),5)-X123-P123</f>
        <v>24</v>
      </c>
      <c r="AE123" s="57">
        <f>ROUND((E123*AD123),2)</f>
        <v>16172.88</v>
      </c>
      <c r="AF123" s="38"/>
      <c r="AG123" s="1452">
        <f t="shared" si="75"/>
        <v>14</v>
      </c>
      <c r="AH123" s="1453">
        <f t="shared" si="64"/>
        <v>9434.18</v>
      </c>
    </row>
    <row r="124" spans="1:34" outlineLevel="1">
      <c r="A124" s="88" t="s">
        <v>430</v>
      </c>
      <c r="B124" s="754">
        <v>41264</v>
      </c>
      <c r="C124" s="1973" t="s">
        <v>463</v>
      </c>
      <c r="D124" s="68" t="s">
        <v>476</v>
      </c>
      <c r="E124" s="1974">
        <v>429.55</v>
      </c>
      <c r="F124" s="722">
        <f>AD124</f>
        <v>81</v>
      </c>
      <c r="G124" s="57">
        <f t="shared" si="96"/>
        <v>34793.550000000003</v>
      </c>
      <c r="H124" s="719">
        <v>51</v>
      </c>
      <c r="I124" s="720">
        <f t="shared" ref="I124:I154" si="100">ROUND((E124*H124),2)</f>
        <v>21907.05</v>
      </c>
      <c r="J124" s="1975"/>
      <c r="K124" s="1975"/>
      <c r="L124" s="1221">
        <v>0</v>
      </c>
      <c r="M124" s="720">
        <f t="shared" si="94"/>
        <v>0</v>
      </c>
      <c r="N124" s="1220">
        <v>15</v>
      </c>
      <c r="O124" s="720">
        <v>6443.25</v>
      </c>
      <c r="P124" s="720"/>
      <c r="Q124" s="720">
        <v>0</v>
      </c>
      <c r="R124" s="719">
        <v>66</v>
      </c>
      <c r="S124" s="725">
        <f t="shared" ref="S124:S143" si="101">E124*R124</f>
        <v>28350.3</v>
      </c>
      <c r="T124" s="1974"/>
      <c r="U124" s="720">
        <f t="shared" si="97"/>
        <v>0</v>
      </c>
      <c r="V124" s="1974"/>
      <c r="W124" s="720">
        <f t="shared" si="98"/>
        <v>0</v>
      </c>
      <c r="X124" s="725"/>
      <c r="Y124" s="720">
        <f t="shared" si="65"/>
        <v>0</v>
      </c>
      <c r="Z124" s="719">
        <f>VLOOKUP(A124,'12 - CORPO'!$A$1:$R$1841,18,FALSE)</f>
        <v>12</v>
      </c>
      <c r="AA124" s="725">
        <f t="shared" ref="AA124:AA154" si="102">AC124-I124</f>
        <v>5154.6000000000022</v>
      </c>
      <c r="AB124" s="719">
        <f t="shared" si="99"/>
        <v>63</v>
      </c>
      <c r="AC124" s="720">
        <f t="shared" ref="AC124:AC154" si="103">E124*AB124</f>
        <v>27061.65</v>
      </c>
      <c r="AD124" s="1976">
        <f t="shared" ref="AD124:AD155" si="104">ROUND((J124+R124+L124+T124+N124),5)-X124-P124</f>
        <v>81</v>
      </c>
      <c r="AE124" s="720">
        <f t="shared" ref="AE124:AE155" si="105">ROUND((E124*AD124),2)</f>
        <v>34793.550000000003</v>
      </c>
      <c r="AF124" s="38"/>
      <c r="AG124" s="1452">
        <f t="shared" si="75"/>
        <v>18</v>
      </c>
      <c r="AH124" s="1453">
        <f t="shared" si="64"/>
        <v>7731.9000000000005</v>
      </c>
    </row>
    <row r="125" spans="1:34" outlineLevel="1">
      <c r="A125" s="88" t="s">
        <v>431</v>
      </c>
      <c r="B125" s="754">
        <v>50501</v>
      </c>
      <c r="C125" s="1973" t="s">
        <v>464</v>
      </c>
      <c r="D125" s="68" t="s">
        <v>477</v>
      </c>
      <c r="E125" s="1974">
        <v>114.63</v>
      </c>
      <c r="F125" s="722">
        <f t="shared" ref="F125:F155" si="106">AD125</f>
        <v>201.3</v>
      </c>
      <c r="G125" s="57">
        <f t="shared" si="96"/>
        <v>23075.02</v>
      </c>
      <c r="H125" s="719">
        <v>194.38000000000005</v>
      </c>
      <c r="I125" s="720">
        <f t="shared" si="100"/>
        <v>22281.78</v>
      </c>
      <c r="J125" s="1975"/>
      <c r="K125" s="1975"/>
      <c r="L125" s="1221">
        <v>24</v>
      </c>
      <c r="M125" s="720">
        <f>ROUND((E125*L125),2)</f>
        <v>2751.12</v>
      </c>
      <c r="N125" s="1220">
        <v>30</v>
      </c>
      <c r="O125" s="720">
        <v>3438.9</v>
      </c>
      <c r="P125" s="720"/>
      <c r="Q125" s="720">
        <v>0</v>
      </c>
      <c r="R125" s="719">
        <v>147.30000000000001</v>
      </c>
      <c r="S125" s="725">
        <f t="shared" si="101"/>
        <v>16884.999</v>
      </c>
      <c r="T125" s="1974"/>
      <c r="U125" s="720">
        <f t="shared" si="97"/>
        <v>0</v>
      </c>
      <c r="V125" s="1974"/>
      <c r="W125" s="720">
        <f t="shared" si="98"/>
        <v>0</v>
      </c>
      <c r="X125" s="725"/>
      <c r="Y125" s="720">
        <f t="shared" si="65"/>
        <v>0</v>
      </c>
      <c r="Z125" s="1911">
        <f>VLOOKUP(A125,'12 - CORPO'!$A$1:$R$1841,18,FALSE)</f>
        <v>5.4000000000000057</v>
      </c>
      <c r="AA125" s="725">
        <f>AC125-I125</f>
        <v>619.00140000000829</v>
      </c>
      <c r="AB125" s="719">
        <f t="shared" si="99"/>
        <v>199.78000000000006</v>
      </c>
      <c r="AC125" s="720">
        <f t="shared" si="103"/>
        <v>22900.781400000007</v>
      </c>
      <c r="AD125" s="1976">
        <f t="shared" si="104"/>
        <v>201.3</v>
      </c>
      <c r="AE125" s="720">
        <f t="shared" si="105"/>
        <v>23075.02</v>
      </c>
      <c r="AF125" s="38"/>
      <c r="AG125" s="1452">
        <f t="shared" si="75"/>
        <v>1.5199999999999534</v>
      </c>
      <c r="AH125" s="1453">
        <f t="shared" si="64"/>
        <v>174.23759999999464</v>
      </c>
    </row>
    <row r="126" spans="1:34" outlineLevel="1">
      <c r="A126" s="88" t="s">
        <v>432</v>
      </c>
      <c r="B126" s="754">
        <v>40937</v>
      </c>
      <c r="C126" s="1973" t="s">
        <v>465</v>
      </c>
      <c r="D126" s="68" t="s">
        <v>477</v>
      </c>
      <c r="E126" s="1974">
        <v>614.87</v>
      </c>
      <c r="F126" s="722">
        <f t="shared" si="106"/>
        <v>14.52</v>
      </c>
      <c r="G126" s="57">
        <f t="shared" si="96"/>
        <v>8927.91</v>
      </c>
      <c r="H126" s="719">
        <v>14.520000000000001</v>
      </c>
      <c r="I126" s="720">
        <f t="shared" si="100"/>
        <v>8927.91</v>
      </c>
      <c r="J126" s="1975"/>
      <c r="K126" s="1975"/>
      <c r="L126" s="1221">
        <v>0</v>
      </c>
      <c r="M126" s="720">
        <f t="shared" si="94"/>
        <v>0</v>
      </c>
      <c r="N126" s="1220">
        <v>0</v>
      </c>
      <c r="O126" s="720">
        <v>0</v>
      </c>
      <c r="P126" s="720"/>
      <c r="Q126" s="720">
        <v>0</v>
      </c>
      <c r="R126" s="719">
        <v>14.52</v>
      </c>
      <c r="S126" s="725">
        <f t="shared" si="101"/>
        <v>8927.9123999999993</v>
      </c>
      <c r="T126" s="1974"/>
      <c r="U126" s="720">
        <f t="shared" si="97"/>
        <v>0</v>
      </c>
      <c r="V126" s="1974"/>
      <c r="W126" s="720">
        <f t="shared" si="98"/>
        <v>0</v>
      </c>
      <c r="X126" s="725"/>
      <c r="Y126" s="720">
        <f t="shared" si="65"/>
        <v>0</v>
      </c>
      <c r="Z126" s="1911">
        <f>VLOOKUP(A126,'12 - CORPO'!$A$1:$R$1841,18,FALSE)</f>
        <v>0</v>
      </c>
      <c r="AA126" s="725">
        <f t="shared" si="102"/>
        <v>2.4000000012165401E-3</v>
      </c>
      <c r="AB126" s="719">
        <f t="shared" si="99"/>
        <v>14.520000000000001</v>
      </c>
      <c r="AC126" s="720">
        <f t="shared" si="103"/>
        <v>8927.9124000000011</v>
      </c>
      <c r="AD126" s="1976">
        <f t="shared" si="104"/>
        <v>14.52</v>
      </c>
      <c r="AE126" s="720">
        <f t="shared" si="105"/>
        <v>8927.91</v>
      </c>
      <c r="AF126" s="38"/>
      <c r="AG126" s="1452">
        <f t="shared" si="75"/>
        <v>0</v>
      </c>
      <c r="AH126" s="1453">
        <f t="shared" si="64"/>
        <v>0</v>
      </c>
    </row>
    <row r="127" spans="1:34" outlineLevel="1">
      <c r="A127" s="88" t="s">
        <v>433</v>
      </c>
      <c r="B127" s="754">
        <v>41359</v>
      </c>
      <c r="C127" s="1973" t="s">
        <v>466</v>
      </c>
      <c r="D127" s="68" t="s">
        <v>144</v>
      </c>
      <c r="E127" s="1974">
        <v>22.25</v>
      </c>
      <c r="F127" s="722">
        <f t="shared" si="106"/>
        <v>3208</v>
      </c>
      <c r="G127" s="57">
        <f t="shared" si="96"/>
        <v>71378</v>
      </c>
      <c r="H127" s="719">
        <v>3204.52</v>
      </c>
      <c r="I127" s="720">
        <f t="shared" si="100"/>
        <v>71300.570000000007</v>
      </c>
      <c r="J127" s="1975"/>
      <c r="K127" s="1975"/>
      <c r="L127" s="1221">
        <v>820</v>
      </c>
      <c r="M127" s="720">
        <f t="shared" si="94"/>
        <v>18245</v>
      </c>
      <c r="N127" s="1220">
        <v>588</v>
      </c>
      <c r="O127" s="720">
        <v>13083</v>
      </c>
      <c r="P127" s="720"/>
      <c r="Q127" s="720">
        <v>0</v>
      </c>
      <c r="R127" s="719">
        <v>1800</v>
      </c>
      <c r="S127" s="725">
        <f t="shared" si="101"/>
        <v>40050</v>
      </c>
      <c r="T127" s="1974"/>
      <c r="U127" s="720">
        <f t="shared" si="97"/>
        <v>0</v>
      </c>
      <c r="V127" s="1974"/>
      <c r="W127" s="720">
        <f t="shared" si="98"/>
        <v>0</v>
      </c>
      <c r="X127" s="725"/>
      <c r="Y127" s="720">
        <f t="shared" si="65"/>
        <v>0</v>
      </c>
      <c r="Z127" s="1911">
        <f>VLOOKUP(A127,'12 - CORPO'!$A$1:$R$1841,18,FALSE)</f>
        <v>0</v>
      </c>
      <c r="AA127" s="725">
        <f t="shared" si="102"/>
        <v>0</v>
      </c>
      <c r="AB127" s="719">
        <f t="shared" si="99"/>
        <v>3204.52</v>
      </c>
      <c r="AC127" s="720">
        <f t="shared" si="103"/>
        <v>71300.569999999992</v>
      </c>
      <c r="AD127" s="1976">
        <f t="shared" si="104"/>
        <v>3208</v>
      </c>
      <c r="AE127" s="720">
        <f t="shared" si="105"/>
        <v>71378</v>
      </c>
      <c r="AF127" s="38"/>
      <c r="AG127" s="1452">
        <f t="shared" si="75"/>
        <v>3.4800000000000182</v>
      </c>
      <c r="AH127" s="1453">
        <f t="shared" si="64"/>
        <v>77.430000000000405</v>
      </c>
    </row>
    <row r="128" spans="1:34" ht="14.25" customHeight="1" outlineLevel="1">
      <c r="A128" s="88" t="s">
        <v>434</v>
      </c>
      <c r="B128" s="754" t="s">
        <v>451</v>
      </c>
      <c r="C128" s="1973" t="s">
        <v>467</v>
      </c>
      <c r="D128" s="68" t="s">
        <v>478</v>
      </c>
      <c r="E128" s="1974">
        <v>12738.06</v>
      </c>
      <c r="F128" s="722">
        <f t="shared" si="106"/>
        <v>24</v>
      </c>
      <c r="G128" s="57">
        <f t="shared" si="96"/>
        <v>305713.44</v>
      </c>
      <c r="H128" s="719">
        <v>24</v>
      </c>
      <c r="I128" s="720">
        <f t="shared" si="100"/>
        <v>305713.44</v>
      </c>
      <c r="J128" s="1975"/>
      <c r="K128" s="1975"/>
      <c r="L128" s="1221">
        <v>6</v>
      </c>
      <c r="M128" s="720">
        <f t="shared" si="94"/>
        <v>76428.36</v>
      </c>
      <c r="N128" s="1220">
        <v>6</v>
      </c>
      <c r="O128" s="720">
        <v>76428.36</v>
      </c>
      <c r="P128" s="720"/>
      <c r="Q128" s="720">
        <v>0</v>
      </c>
      <c r="R128" s="719">
        <v>12</v>
      </c>
      <c r="S128" s="725">
        <f t="shared" si="101"/>
        <v>152856.72</v>
      </c>
      <c r="T128" s="1974"/>
      <c r="U128" s="720">
        <f t="shared" si="97"/>
        <v>0</v>
      </c>
      <c r="V128" s="1974"/>
      <c r="W128" s="720">
        <f t="shared" si="98"/>
        <v>0</v>
      </c>
      <c r="X128" s="725"/>
      <c r="Y128" s="720">
        <f t="shared" si="65"/>
        <v>0</v>
      </c>
      <c r="Z128" s="1911">
        <f>VLOOKUP(A128,'12 - CORPO'!$A$1:$R$1841,18,FALSE)</f>
        <v>0</v>
      </c>
      <c r="AA128" s="725">
        <f t="shared" si="102"/>
        <v>0</v>
      </c>
      <c r="AB128" s="719">
        <f t="shared" si="99"/>
        <v>24</v>
      </c>
      <c r="AC128" s="720">
        <f t="shared" si="103"/>
        <v>305713.44</v>
      </c>
      <c r="AD128" s="1976">
        <f t="shared" si="104"/>
        <v>24</v>
      </c>
      <c r="AE128" s="720">
        <f t="shared" si="105"/>
        <v>305713.44</v>
      </c>
      <c r="AF128" s="38"/>
      <c r="AG128" s="1452">
        <f t="shared" si="75"/>
        <v>0</v>
      </c>
      <c r="AH128" s="1453">
        <f t="shared" si="64"/>
        <v>0</v>
      </c>
    </row>
    <row r="129" spans="1:34" outlineLevel="1">
      <c r="A129" s="88" t="s">
        <v>435</v>
      </c>
      <c r="B129" s="754" t="s">
        <v>452</v>
      </c>
      <c r="C129" s="1973" t="s">
        <v>422</v>
      </c>
      <c r="D129" s="68" t="s">
        <v>151</v>
      </c>
      <c r="E129" s="1974">
        <v>1328.24</v>
      </c>
      <c r="F129" s="722">
        <f t="shared" si="106"/>
        <v>27</v>
      </c>
      <c r="G129" s="57">
        <f t="shared" si="96"/>
        <v>35862.480000000003</v>
      </c>
      <c r="H129" s="719">
        <v>21.399999999999991</v>
      </c>
      <c r="I129" s="720">
        <f t="shared" si="100"/>
        <v>28424.34</v>
      </c>
      <c r="J129" s="1975"/>
      <c r="K129" s="1975"/>
      <c r="L129" s="1221">
        <v>9</v>
      </c>
      <c r="M129" s="720">
        <f t="shared" si="94"/>
        <v>11954.16</v>
      </c>
      <c r="N129" s="1220">
        <v>9</v>
      </c>
      <c r="O129" s="720">
        <v>11954.16</v>
      </c>
      <c r="P129" s="720"/>
      <c r="Q129" s="720">
        <v>0</v>
      </c>
      <c r="R129" s="719">
        <v>9</v>
      </c>
      <c r="S129" s="725">
        <f t="shared" si="101"/>
        <v>11954.16</v>
      </c>
      <c r="T129" s="1974"/>
      <c r="U129" s="720">
        <f t="shared" si="97"/>
        <v>0</v>
      </c>
      <c r="V129" s="1974"/>
      <c r="W129" s="720">
        <f t="shared" si="98"/>
        <v>0</v>
      </c>
      <c r="X129" s="725"/>
      <c r="Y129" s="720">
        <f t="shared" si="65"/>
        <v>0</v>
      </c>
      <c r="Z129" s="1911">
        <f>VLOOKUP(A129,'12 - CORPO'!$A$1:$R$1841,18,FALSE)</f>
        <v>4.1999999999999957</v>
      </c>
      <c r="AA129" s="725">
        <f t="shared" si="102"/>
        <v>5578.6039999999812</v>
      </c>
      <c r="AB129" s="719">
        <f t="shared" si="99"/>
        <v>25.599999999999987</v>
      </c>
      <c r="AC129" s="720">
        <f t="shared" si="103"/>
        <v>34002.943999999981</v>
      </c>
      <c r="AD129" s="1976">
        <f t="shared" si="104"/>
        <v>27</v>
      </c>
      <c r="AE129" s="720">
        <f t="shared" si="105"/>
        <v>35862.480000000003</v>
      </c>
      <c r="AF129" s="38"/>
      <c r="AG129" s="1452">
        <f t="shared" si="75"/>
        <v>1.4000000000000128</v>
      </c>
      <c r="AH129" s="1453">
        <f t="shared" si="64"/>
        <v>1859.5360000000171</v>
      </c>
    </row>
    <row r="130" spans="1:34" outlineLevel="1">
      <c r="A130" s="88" t="s">
        <v>436</v>
      </c>
      <c r="B130" s="754">
        <v>7010100210</v>
      </c>
      <c r="C130" s="1977" t="s">
        <v>468</v>
      </c>
      <c r="D130" s="68" t="s">
        <v>478</v>
      </c>
      <c r="E130" s="1974">
        <v>1640.39</v>
      </c>
      <c r="F130" s="722">
        <f t="shared" si="106"/>
        <v>24</v>
      </c>
      <c r="G130" s="57">
        <f t="shared" si="96"/>
        <v>39369.360000000001</v>
      </c>
      <c r="H130" s="719">
        <v>17.5</v>
      </c>
      <c r="I130" s="720">
        <f t="shared" si="100"/>
        <v>28706.83</v>
      </c>
      <c r="J130" s="1975"/>
      <c r="K130" s="1975"/>
      <c r="L130" s="1221">
        <v>6</v>
      </c>
      <c r="M130" s="720">
        <f t="shared" si="94"/>
        <v>9842.34</v>
      </c>
      <c r="N130" s="1220">
        <v>6</v>
      </c>
      <c r="O130" s="720">
        <v>9842.34</v>
      </c>
      <c r="P130" s="720"/>
      <c r="Q130" s="720">
        <v>0</v>
      </c>
      <c r="R130" s="719">
        <v>12</v>
      </c>
      <c r="S130" s="725">
        <f t="shared" si="101"/>
        <v>19684.68</v>
      </c>
      <c r="T130" s="1974"/>
      <c r="U130" s="720">
        <f t="shared" si="97"/>
        <v>0</v>
      </c>
      <c r="V130" s="1974"/>
      <c r="W130" s="720">
        <f t="shared" si="98"/>
        <v>0</v>
      </c>
      <c r="X130" s="725"/>
      <c r="Y130" s="720">
        <f t="shared" si="65"/>
        <v>0</v>
      </c>
      <c r="Z130" s="1911">
        <f>VLOOKUP(A130,'12 - CORPO'!$A$1:$R$1841,18,FALSE)</f>
        <v>4</v>
      </c>
      <c r="AA130" s="71">
        <f t="shared" si="102"/>
        <v>6561.5550000000003</v>
      </c>
      <c r="AB130" s="1901">
        <f t="shared" si="99"/>
        <v>21.5</v>
      </c>
      <c r="AC130" s="720">
        <f t="shared" si="103"/>
        <v>35268.385000000002</v>
      </c>
      <c r="AD130" s="1976">
        <f t="shared" si="104"/>
        <v>24</v>
      </c>
      <c r="AE130" s="80">
        <f t="shared" si="105"/>
        <v>39369.360000000001</v>
      </c>
      <c r="AF130" s="38"/>
      <c r="AG130" s="1452">
        <f t="shared" si="75"/>
        <v>2.5</v>
      </c>
      <c r="AH130" s="1453">
        <f t="shared" si="64"/>
        <v>4100.9750000000004</v>
      </c>
    </row>
    <row r="131" spans="1:34" ht="25.5" outlineLevel="1">
      <c r="A131" s="88" t="s">
        <v>437</v>
      </c>
      <c r="B131" s="754">
        <v>2003985</v>
      </c>
      <c r="C131" s="1977" t="s">
        <v>233</v>
      </c>
      <c r="D131" s="68" t="s">
        <v>477</v>
      </c>
      <c r="E131" s="1974">
        <v>212.96</v>
      </c>
      <c r="F131" s="722">
        <f t="shared" si="106"/>
        <v>248.27</v>
      </c>
      <c r="G131" s="57">
        <f t="shared" si="96"/>
        <v>52871.58</v>
      </c>
      <c r="H131" s="719">
        <v>245.32400000000001</v>
      </c>
      <c r="I131" s="720">
        <f t="shared" si="100"/>
        <v>52244.2</v>
      </c>
      <c r="J131" s="1975"/>
      <c r="K131" s="1975"/>
      <c r="L131" s="1221">
        <v>68.56</v>
      </c>
      <c r="M131" s="720">
        <f t="shared" si="94"/>
        <v>14600.54</v>
      </c>
      <c r="N131" s="1220">
        <v>51.97</v>
      </c>
      <c r="O131" s="720">
        <v>11067.53</v>
      </c>
      <c r="P131" s="720"/>
      <c r="Q131" s="720">
        <v>0</v>
      </c>
      <c r="R131" s="719">
        <v>127.74</v>
      </c>
      <c r="S131" s="725">
        <f t="shared" si="101"/>
        <v>27203.510399999999</v>
      </c>
      <c r="T131" s="1974"/>
      <c r="U131" s="720">
        <f t="shared" si="97"/>
        <v>0</v>
      </c>
      <c r="V131" s="1974"/>
      <c r="W131" s="720">
        <f t="shared" si="98"/>
        <v>0</v>
      </c>
      <c r="X131" s="725"/>
      <c r="Y131" s="720">
        <f t="shared" si="65"/>
        <v>0</v>
      </c>
      <c r="Z131" s="1911">
        <f>VLOOKUP(A131,'12 - CORPO'!$A$1:$R$1841,18,FALSE)</f>
        <v>0</v>
      </c>
      <c r="AA131" s="71">
        <f t="shared" si="102"/>
        <v>-9.5999999030027539E-4</v>
      </c>
      <c r="AB131" s="1901">
        <f t="shared" si="99"/>
        <v>245.32400000000001</v>
      </c>
      <c r="AC131" s="720">
        <f t="shared" si="103"/>
        <v>52244.199040000007</v>
      </c>
      <c r="AD131" s="1976">
        <f t="shared" si="104"/>
        <v>248.27</v>
      </c>
      <c r="AE131" s="80">
        <f t="shared" si="105"/>
        <v>52871.58</v>
      </c>
      <c r="AF131" s="38"/>
      <c r="AG131" s="1452">
        <f t="shared" si="75"/>
        <v>2.945999999999998</v>
      </c>
      <c r="AH131" s="1453">
        <f t="shared" si="64"/>
        <v>627.38015999999959</v>
      </c>
    </row>
    <row r="132" spans="1:34" ht="25.5" outlineLevel="1">
      <c r="A132" s="88" t="s">
        <v>438</v>
      </c>
      <c r="B132" s="754" t="s">
        <v>453</v>
      </c>
      <c r="C132" s="1977" t="s">
        <v>423</v>
      </c>
      <c r="D132" s="68" t="s">
        <v>144</v>
      </c>
      <c r="E132" s="1974">
        <v>264.06</v>
      </c>
      <c r="F132" s="722">
        <f t="shared" si="106"/>
        <v>444</v>
      </c>
      <c r="G132" s="57">
        <f t="shared" si="96"/>
        <v>117242.64</v>
      </c>
      <c r="H132" s="719">
        <v>328</v>
      </c>
      <c r="I132" s="720">
        <f t="shared" si="100"/>
        <v>86611.68</v>
      </c>
      <c r="J132" s="1975"/>
      <c r="K132" s="1975"/>
      <c r="L132" s="1221">
        <v>0</v>
      </c>
      <c r="M132" s="720">
        <f t="shared" si="94"/>
        <v>0</v>
      </c>
      <c r="N132" s="1220">
        <v>244</v>
      </c>
      <c r="O132" s="720">
        <v>64430.64</v>
      </c>
      <c r="P132" s="720"/>
      <c r="Q132" s="720">
        <v>0</v>
      </c>
      <c r="R132" s="719">
        <v>200</v>
      </c>
      <c r="S132" s="725">
        <f t="shared" si="101"/>
        <v>52812</v>
      </c>
      <c r="T132" s="1974"/>
      <c r="U132" s="720">
        <f t="shared" si="97"/>
        <v>0</v>
      </c>
      <c r="V132" s="1974"/>
      <c r="W132" s="720">
        <f t="shared" si="98"/>
        <v>0</v>
      </c>
      <c r="X132" s="725"/>
      <c r="Y132" s="720">
        <f t="shared" si="65"/>
        <v>0</v>
      </c>
      <c r="Z132" s="1911">
        <f>VLOOKUP(A132,'12 - CORPO'!$A$1:$R$1841,18,FALSE)</f>
        <v>32</v>
      </c>
      <c r="AA132" s="71">
        <f t="shared" si="102"/>
        <v>8449.9200000000128</v>
      </c>
      <c r="AB132" s="1901">
        <f t="shared" si="99"/>
        <v>360</v>
      </c>
      <c r="AC132" s="720">
        <f t="shared" si="103"/>
        <v>95061.6</v>
      </c>
      <c r="AD132" s="1976">
        <f t="shared" si="104"/>
        <v>444</v>
      </c>
      <c r="AE132" s="80">
        <f t="shared" si="105"/>
        <v>117242.64</v>
      </c>
      <c r="AF132" s="38"/>
      <c r="AG132" s="1452">
        <f t="shared" si="75"/>
        <v>84</v>
      </c>
      <c r="AH132" s="1453">
        <f t="shared" si="64"/>
        <v>22181.040000000001</v>
      </c>
    </row>
    <row r="133" spans="1:34" ht="25.5" outlineLevel="1">
      <c r="A133" s="88" t="s">
        <v>439</v>
      </c>
      <c r="B133" s="754" t="s">
        <v>454</v>
      </c>
      <c r="C133" s="1977" t="s">
        <v>424</v>
      </c>
      <c r="D133" s="68" t="s">
        <v>251</v>
      </c>
      <c r="E133" s="1974">
        <v>829.42</v>
      </c>
      <c r="F133" s="722">
        <f t="shared" si="106"/>
        <v>35</v>
      </c>
      <c r="G133" s="57">
        <f t="shared" si="96"/>
        <v>29029.7</v>
      </c>
      <c r="H133" s="719">
        <v>35</v>
      </c>
      <c r="I133" s="720">
        <f t="shared" si="100"/>
        <v>29029.7</v>
      </c>
      <c r="J133" s="1975"/>
      <c r="K133" s="1975"/>
      <c r="L133" s="1221">
        <v>15</v>
      </c>
      <c r="M133" s="720">
        <f t="shared" si="94"/>
        <v>12441.3</v>
      </c>
      <c r="N133" s="1220">
        <v>0</v>
      </c>
      <c r="O133" s="720">
        <v>0</v>
      </c>
      <c r="P133" s="720"/>
      <c r="Q133" s="720">
        <v>0</v>
      </c>
      <c r="R133" s="719">
        <v>20</v>
      </c>
      <c r="S133" s="725">
        <f t="shared" si="101"/>
        <v>16588.399999999998</v>
      </c>
      <c r="T133" s="1974"/>
      <c r="U133" s="720">
        <f t="shared" si="97"/>
        <v>0</v>
      </c>
      <c r="V133" s="1974"/>
      <c r="W133" s="720">
        <f t="shared" si="98"/>
        <v>0</v>
      </c>
      <c r="X133" s="725"/>
      <c r="Y133" s="720">
        <f t="shared" si="65"/>
        <v>0</v>
      </c>
      <c r="Z133" s="1957">
        <f>VLOOKUP(A133,'12 - CORPO'!$A$1:$R$1841,18,FALSE)</f>
        <v>0</v>
      </c>
      <c r="AA133" s="71">
        <f t="shared" si="102"/>
        <v>0</v>
      </c>
      <c r="AB133" s="1901">
        <f t="shared" si="99"/>
        <v>35</v>
      </c>
      <c r="AC133" s="720">
        <f t="shared" si="103"/>
        <v>29029.699999999997</v>
      </c>
      <c r="AD133" s="1976">
        <f t="shared" si="104"/>
        <v>35</v>
      </c>
      <c r="AE133" s="80">
        <f t="shared" si="105"/>
        <v>29029.7</v>
      </c>
      <c r="AF133" s="38"/>
      <c r="AG133" s="1452">
        <f t="shared" si="75"/>
        <v>0</v>
      </c>
      <c r="AH133" s="1453">
        <f t="shared" si="64"/>
        <v>0</v>
      </c>
    </row>
    <row r="134" spans="1:34" ht="25.5" outlineLevel="1">
      <c r="A134" s="88" t="s">
        <v>440</v>
      </c>
      <c r="B134" s="754" t="s">
        <v>455</v>
      </c>
      <c r="C134" s="1977" t="s">
        <v>425</v>
      </c>
      <c r="D134" s="68" t="s">
        <v>151</v>
      </c>
      <c r="E134" s="1974">
        <v>510.3</v>
      </c>
      <c r="F134" s="722">
        <f t="shared" si="106"/>
        <v>42</v>
      </c>
      <c r="G134" s="57">
        <f t="shared" si="96"/>
        <v>21432.6</v>
      </c>
      <c r="H134" s="719">
        <v>42</v>
      </c>
      <c r="I134" s="720">
        <f t="shared" si="100"/>
        <v>21432.6</v>
      </c>
      <c r="J134" s="1975"/>
      <c r="K134" s="1975"/>
      <c r="L134" s="1221"/>
      <c r="M134" s="720">
        <f t="shared" si="94"/>
        <v>0</v>
      </c>
      <c r="N134" s="1220">
        <v>0</v>
      </c>
      <c r="O134" s="720">
        <v>0</v>
      </c>
      <c r="P134" s="720"/>
      <c r="Q134" s="720">
        <v>0</v>
      </c>
      <c r="R134" s="719">
        <v>42</v>
      </c>
      <c r="S134" s="725">
        <f t="shared" si="101"/>
        <v>21432.600000000002</v>
      </c>
      <c r="T134" s="1974"/>
      <c r="U134" s="720">
        <f>ROUND((E134*T134),2)</f>
        <v>0</v>
      </c>
      <c r="V134" s="1974"/>
      <c r="W134" s="720">
        <f>ROUND((G134*V134),2)</f>
        <v>0</v>
      </c>
      <c r="X134" s="725"/>
      <c r="Y134" s="720">
        <f t="shared" si="65"/>
        <v>0</v>
      </c>
      <c r="Z134" s="1957">
        <f>VLOOKUP(A134,'12 - CORPO'!$A$1:$R$1841,18,FALSE)</f>
        <v>0</v>
      </c>
      <c r="AA134" s="71">
        <f t="shared" si="102"/>
        <v>0</v>
      </c>
      <c r="AB134" s="1901">
        <f t="shared" si="99"/>
        <v>42</v>
      </c>
      <c r="AC134" s="720">
        <f t="shared" si="103"/>
        <v>21432.600000000002</v>
      </c>
      <c r="AD134" s="1976">
        <f t="shared" si="104"/>
        <v>42</v>
      </c>
      <c r="AE134" s="80">
        <f t="shared" si="105"/>
        <v>21432.6</v>
      </c>
      <c r="AF134" s="38"/>
      <c r="AG134" s="1452">
        <f t="shared" si="75"/>
        <v>0</v>
      </c>
      <c r="AH134" s="1453">
        <f t="shared" si="64"/>
        <v>0</v>
      </c>
    </row>
    <row r="135" spans="1:34" ht="25.5" outlineLevel="1">
      <c r="A135" s="88" t="s">
        <v>441</v>
      </c>
      <c r="B135" s="754" t="s">
        <v>456</v>
      </c>
      <c r="C135" s="1977" t="s">
        <v>426</v>
      </c>
      <c r="D135" s="68" t="s">
        <v>151</v>
      </c>
      <c r="E135" s="1974">
        <v>672.32</v>
      </c>
      <c r="F135" s="722">
        <f t="shared" si="106"/>
        <v>19</v>
      </c>
      <c r="G135" s="57">
        <f t="shared" si="96"/>
        <v>12774.08</v>
      </c>
      <c r="H135" s="719">
        <v>19</v>
      </c>
      <c r="I135" s="720">
        <f t="shared" si="100"/>
        <v>12774.08</v>
      </c>
      <c r="J135" s="1975"/>
      <c r="K135" s="1975"/>
      <c r="L135" s="1221">
        <v>4</v>
      </c>
      <c r="M135" s="720">
        <f t="shared" si="94"/>
        <v>2689.28</v>
      </c>
      <c r="N135" s="1220">
        <v>0</v>
      </c>
      <c r="O135" s="720">
        <v>0</v>
      </c>
      <c r="P135" s="720"/>
      <c r="Q135" s="720">
        <v>0</v>
      </c>
      <c r="R135" s="719">
        <v>15</v>
      </c>
      <c r="S135" s="725">
        <f t="shared" si="101"/>
        <v>10084.800000000001</v>
      </c>
      <c r="T135" s="1974"/>
      <c r="U135" s="725"/>
      <c r="V135" s="1974"/>
      <c r="W135" s="725"/>
      <c r="X135" s="725"/>
      <c r="Y135" s="720">
        <f t="shared" si="65"/>
        <v>0</v>
      </c>
      <c r="Z135" s="1957">
        <f>VLOOKUP(A135,'12 - CORPO'!$A$1:$R$1925,18,FALSE)</f>
        <v>0</v>
      </c>
      <c r="AA135" s="71">
        <f t="shared" si="102"/>
        <v>0</v>
      </c>
      <c r="AB135" s="1901">
        <f t="shared" si="99"/>
        <v>19</v>
      </c>
      <c r="AC135" s="720">
        <f t="shared" si="103"/>
        <v>12774.080000000002</v>
      </c>
      <c r="AD135" s="1976">
        <f t="shared" si="104"/>
        <v>19</v>
      </c>
      <c r="AE135" s="80">
        <f t="shared" si="105"/>
        <v>12774.08</v>
      </c>
      <c r="AF135" s="38"/>
      <c r="AG135" s="1452">
        <f t="shared" si="75"/>
        <v>0</v>
      </c>
      <c r="AH135" s="1453">
        <f t="shared" si="64"/>
        <v>0</v>
      </c>
    </row>
    <row r="136" spans="1:34" outlineLevel="1">
      <c r="A136" s="88" t="s">
        <v>442</v>
      </c>
      <c r="B136" s="754" t="s">
        <v>457</v>
      </c>
      <c r="C136" s="1973" t="s">
        <v>427</v>
      </c>
      <c r="D136" s="68" t="s">
        <v>476</v>
      </c>
      <c r="E136" s="1974">
        <v>142.16</v>
      </c>
      <c r="F136" s="722">
        <f t="shared" si="106"/>
        <v>661.2</v>
      </c>
      <c r="G136" s="57">
        <f t="shared" si="96"/>
        <v>93996.19</v>
      </c>
      <c r="H136" s="719">
        <v>640.44999999999993</v>
      </c>
      <c r="I136" s="720">
        <f t="shared" si="100"/>
        <v>91046.37</v>
      </c>
      <c r="J136" s="1975"/>
      <c r="K136" s="1975"/>
      <c r="L136" s="1221">
        <v>0</v>
      </c>
      <c r="M136" s="720">
        <f t="shared" si="94"/>
        <v>0</v>
      </c>
      <c r="N136" s="1220">
        <v>0</v>
      </c>
      <c r="O136" s="720">
        <v>0</v>
      </c>
      <c r="P136" s="720"/>
      <c r="Q136" s="720">
        <v>0</v>
      </c>
      <c r="R136" s="719">
        <v>661.2</v>
      </c>
      <c r="S136" s="725">
        <f t="shared" si="101"/>
        <v>93996.19200000001</v>
      </c>
      <c r="T136" s="1974"/>
      <c r="U136" s="725"/>
      <c r="V136" s="1974"/>
      <c r="W136" s="725"/>
      <c r="X136" s="725"/>
      <c r="Y136" s="720">
        <f t="shared" si="65"/>
        <v>0</v>
      </c>
      <c r="Z136" s="1957">
        <f>VLOOKUP(A136,'12 - CORPO'!$A$1:$R$1925,18,FALSE)</f>
        <v>0</v>
      </c>
      <c r="AA136" s="71">
        <f t="shared" si="102"/>
        <v>1.999999993131496E-3</v>
      </c>
      <c r="AB136" s="1901">
        <f t="shared" si="99"/>
        <v>640.44999999999993</v>
      </c>
      <c r="AC136" s="720">
        <f t="shared" si="103"/>
        <v>91046.371999999988</v>
      </c>
      <c r="AD136" s="1976">
        <f t="shared" si="104"/>
        <v>661.2</v>
      </c>
      <c r="AE136" s="80">
        <f t="shared" si="105"/>
        <v>93996.19</v>
      </c>
      <c r="AF136" s="38"/>
      <c r="AG136" s="1452">
        <f t="shared" si="75"/>
        <v>20.750000000000114</v>
      </c>
      <c r="AH136" s="1453">
        <f t="shared" si="64"/>
        <v>2949.8200000000161</v>
      </c>
    </row>
    <row r="137" spans="1:34" ht="15.75" customHeight="1" outlineLevel="1">
      <c r="A137" s="88" t="s">
        <v>443</v>
      </c>
      <c r="B137" s="754">
        <v>140903</v>
      </c>
      <c r="C137" s="1977" t="s">
        <v>469</v>
      </c>
      <c r="D137" s="68" t="s">
        <v>144</v>
      </c>
      <c r="E137" s="1974">
        <v>63.03</v>
      </c>
      <c r="F137" s="722">
        <f t="shared" si="106"/>
        <v>302.33999999999997</v>
      </c>
      <c r="G137" s="57">
        <f t="shared" si="96"/>
        <v>19056.490000000002</v>
      </c>
      <c r="H137" s="719">
        <v>218.73633333333331</v>
      </c>
      <c r="I137" s="720">
        <f t="shared" si="100"/>
        <v>13786.95</v>
      </c>
      <c r="J137" s="1975"/>
      <c r="K137" s="1975"/>
      <c r="L137" s="1221">
        <v>51.67</v>
      </c>
      <c r="M137" s="720">
        <f t="shared" si="94"/>
        <v>3256.76</v>
      </c>
      <c r="N137" s="1220">
        <v>186.67</v>
      </c>
      <c r="O137" s="720">
        <v>11765.81</v>
      </c>
      <c r="P137" s="720"/>
      <c r="Q137" s="720">
        <v>0</v>
      </c>
      <c r="R137" s="719">
        <v>64</v>
      </c>
      <c r="S137" s="725">
        <f t="shared" si="101"/>
        <v>4033.92</v>
      </c>
      <c r="T137" s="1974"/>
      <c r="U137" s="725"/>
      <c r="V137" s="1974"/>
      <c r="W137" s="725"/>
      <c r="X137" s="725"/>
      <c r="Y137" s="720">
        <f t="shared" si="65"/>
        <v>0</v>
      </c>
      <c r="Z137" s="1911">
        <f>VLOOKUP(A137,'12 - CORPO'!$A$1:$R$1925,18,FALSE)</f>
        <v>10.306633333333338</v>
      </c>
      <c r="AA137" s="71">
        <f t="shared" si="102"/>
        <v>649.62818899999729</v>
      </c>
      <c r="AB137" s="1901">
        <f t="shared" si="99"/>
        <v>229.04296666666664</v>
      </c>
      <c r="AC137" s="720">
        <f t="shared" si="103"/>
        <v>14436.578188999998</v>
      </c>
      <c r="AD137" s="1976">
        <f t="shared" si="104"/>
        <v>302.33999999999997</v>
      </c>
      <c r="AE137" s="80">
        <f t="shared" si="105"/>
        <v>19056.490000000002</v>
      </c>
      <c r="AF137" s="38"/>
      <c r="AG137" s="1452">
        <f t="shared" si="75"/>
        <v>73.297033333333331</v>
      </c>
      <c r="AH137" s="1453">
        <f t="shared" si="64"/>
        <v>4619.9120110000003</v>
      </c>
    </row>
    <row r="138" spans="1:34" ht="36" customHeight="1" outlineLevel="1">
      <c r="A138" s="88" t="s">
        <v>444</v>
      </c>
      <c r="B138" s="754">
        <v>42593</v>
      </c>
      <c r="C138" s="1977" t="s">
        <v>1202</v>
      </c>
      <c r="D138" s="68" t="s">
        <v>476</v>
      </c>
      <c r="E138" s="1974">
        <v>34.950000000000003</v>
      </c>
      <c r="F138" s="722">
        <f>AD138</f>
        <v>13362.29</v>
      </c>
      <c r="G138" s="57">
        <f t="shared" si="96"/>
        <v>467012.04</v>
      </c>
      <c r="H138" s="719">
        <v>13362.29</v>
      </c>
      <c r="I138" s="720">
        <f t="shared" si="100"/>
        <v>467012.04</v>
      </c>
      <c r="J138" s="1975"/>
      <c r="K138" s="1975"/>
      <c r="L138" s="1221">
        <v>1632</v>
      </c>
      <c r="M138" s="720">
        <f t="shared" si="94"/>
        <v>57038.400000000001</v>
      </c>
      <c r="N138" s="1220"/>
      <c r="O138" s="720">
        <v>0</v>
      </c>
      <c r="P138" s="720"/>
      <c r="Q138" s="720">
        <v>0</v>
      </c>
      <c r="R138" s="719">
        <v>11730.29</v>
      </c>
      <c r="S138" s="725">
        <f t="shared" si="101"/>
        <v>409973.63550000009</v>
      </c>
      <c r="T138" s="1974"/>
      <c r="U138" s="725"/>
      <c r="V138" s="1974"/>
      <c r="W138" s="725"/>
      <c r="X138" s="725"/>
      <c r="Y138" s="720">
        <f t="shared" si="65"/>
        <v>0</v>
      </c>
      <c r="Z138" s="1911">
        <f>VLOOKUP(A138,'12 - CORPO'!$A$1:$R$1925,18,FALSE)</f>
        <v>0</v>
      </c>
      <c r="AA138" s="725">
        <f t="shared" si="102"/>
        <v>-4.4999999227002263E-3</v>
      </c>
      <c r="AB138" s="725">
        <f t="shared" si="99"/>
        <v>13362.29</v>
      </c>
      <c r="AC138" s="720">
        <f t="shared" si="103"/>
        <v>467012.03550000006</v>
      </c>
      <c r="AD138" s="1976">
        <f t="shared" si="104"/>
        <v>13362.29</v>
      </c>
      <c r="AE138" s="720">
        <f>ROUND((E138*AD138),2)</f>
        <v>467012.04</v>
      </c>
      <c r="AF138" s="38"/>
      <c r="AG138" s="1452">
        <f t="shared" si="75"/>
        <v>0</v>
      </c>
      <c r="AH138" s="1453">
        <f t="shared" si="64"/>
        <v>0</v>
      </c>
    </row>
    <row r="139" spans="1:34" ht="27.75" customHeight="1" outlineLevel="1">
      <c r="A139" s="88" t="s">
        <v>445</v>
      </c>
      <c r="B139" s="754">
        <v>60019</v>
      </c>
      <c r="C139" s="1977" t="s">
        <v>470</v>
      </c>
      <c r="D139" s="68" t="s">
        <v>168</v>
      </c>
      <c r="E139" s="1978">
        <v>6.45</v>
      </c>
      <c r="F139" s="722">
        <f t="shared" si="106"/>
        <v>30272.67</v>
      </c>
      <c r="G139" s="57">
        <f t="shared" si="96"/>
        <v>195258.72</v>
      </c>
      <c r="H139" s="1979">
        <v>30272.67</v>
      </c>
      <c r="I139" s="720">
        <f t="shared" si="100"/>
        <v>195258.72</v>
      </c>
      <c r="J139" s="1975"/>
      <c r="K139" s="1975"/>
      <c r="L139" s="1221">
        <v>3084.48</v>
      </c>
      <c r="M139" s="720">
        <f t="shared" si="94"/>
        <v>19894.900000000001</v>
      </c>
      <c r="N139" s="1220">
        <v>5017.95</v>
      </c>
      <c r="O139" s="720">
        <v>32365.4</v>
      </c>
      <c r="P139" s="720"/>
      <c r="Q139" s="720">
        <v>0</v>
      </c>
      <c r="R139" s="719">
        <v>22170.240000000002</v>
      </c>
      <c r="S139" s="725">
        <f t="shared" si="101"/>
        <v>142998.04800000001</v>
      </c>
      <c r="T139" s="1974"/>
      <c r="U139" s="725"/>
      <c r="V139" s="1974"/>
      <c r="W139" s="725"/>
      <c r="X139" s="725"/>
      <c r="Y139" s="720">
        <f t="shared" si="65"/>
        <v>0</v>
      </c>
      <c r="Z139" s="1911">
        <f>VLOOKUP(A139,'12 - CORPO'!$A$1:$R$1925,18,FALSE)</f>
        <v>0</v>
      </c>
      <c r="AA139" s="725">
        <f>AC139-I139</f>
        <v>1.4999999839346856E-3</v>
      </c>
      <c r="AB139" s="725">
        <f t="shared" si="99"/>
        <v>30272.67</v>
      </c>
      <c r="AC139" s="720">
        <f t="shared" si="103"/>
        <v>195258.72149999999</v>
      </c>
      <c r="AD139" s="1976">
        <f t="shared" si="104"/>
        <v>30272.67</v>
      </c>
      <c r="AE139" s="720">
        <f t="shared" si="105"/>
        <v>195258.72</v>
      </c>
      <c r="AF139" s="38"/>
      <c r="AG139" s="1452">
        <f t="shared" si="75"/>
        <v>0</v>
      </c>
      <c r="AH139" s="1453">
        <f t="shared" si="64"/>
        <v>0</v>
      </c>
    </row>
    <row r="140" spans="1:34" ht="19.5" customHeight="1" outlineLevel="1">
      <c r="A140" s="88" t="s">
        <v>446</v>
      </c>
      <c r="B140" s="754" t="s">
        <v>458</v>
      </c>
      <c r="C140" s="1973" t="s">
        <v>471</v>
      </c>
      <c r="D140" s="68" t="s">
        <v>479</v>
      </c>
      <c r="E140" s="1974">
        <v>1402.93</v>
      </c>
      <c r="F140" s="722">
        <f t="shared" si="106"/>
        <v>6</v>
      </c>
      <c r="G140" s="57">
        <f t="shared" si="96"/>
        <v>8417.58</v>
      </c>
      <c r="H140" s="719">
        <v>1</v>
      </c>
      <c r="I140" s="720">
        <f t="shared" si="100"/>
        <v>1402.93</v>
      </c>
      <c r="J140" s="1975"/>
      <c r="K140" s="1975"/>
      <c r="L140" s="1221">
        <v>0</v>
      </c>
      <c r="M140" s="720">
        <f t="shared" si="94"/>
        <v>0</v>
      </c>
      <c r="N140" s="1220">
        <v>4</v>
      </c>
      <c r="O140" s="720">
        <v>5611.72</v>
      </c>
      <c r="P140" s="720"/>
      <c r="Q140" s="720">
        <v>0</v>
      </c>
      <c r="R140" s="719">
        <v>2</v>
      </c>
      <c r="S140" s="725">
        <f t="shared" si="101"/>
        <v>2805.86</v>
      </c>
      <c r="T140" s="1974"/>
      <c r="U140" s="725"/>
      <c r="V140" s="1974"/>
      <c r="W140" s="725"/>
      <c r="X140" s="725"/>
      <c r="Y140" s="720">
        <f t="shared" si="65"/>
        <v>0</v>
      </c>
      <c r="Z140" s="1911">
        <f>VLOOKUP(A140,'12 - CORPO'!$A$1:$R$1925,18,FALSE)</f>
        <v>0</v>
      </c>
      <c r="AA140" s="725">
        <f t="shared" si="102"/>
        <v>0</v>
      </c>
      <c r="AB140" s="719">
        <f t="shared" si="99"/>
        <v>1</v>
      </c>
      <c r="AC140" s="720">
        <f t="shared" si="103"/>
        <v>1402.93</v>
      </c>
      <c r="AD140" s="1976">
        <f t="shared" si="104"/>
        <v>6</v>
      </c>
      <c r="AE140" s="720">
        <f t="shared" si="105"/>
        <v>8417.58</v>
      </c>
      <c r="AF140" s="38"/>
      <c r="AG140" s="1452">
        <f t="shared" si="75"/>
        <v>5</v>
      </c>
      <c r="AH140" s="1453">
        <f t="shared" si="64"/>
        <v>7014.6500000000005</v>
      </c>
    </row>
    <row r="141" spans="1:34" outlineLevel="1">
      <c r="A141" s="88" t="s">
        <v>447</v>
      </c>
      <c r="B141" s="754">
        <v>7010100280</v>
      </c>
      <c r="C141" s="1973" t="s">
        <v>472</v>
      </c>
      <c r="D141" s="68" t="s">
        <v>480</v>
      </c>
      <c r="E141" s="1974">
        <v>9042</v>
      </c>
      <c r="F141" s="722">
        <f t="shared" si="106"/>
        <v>15.4</v>
      </c>
      <c r="G141" s="57">
        <f t="shared" si="96"/>
        <v>139246.79999999999</v>
      </c>
      <c r="H141" s="719">
        <v>13.9</v>
      </c>
      <c r="I141" s="720">
        <f t="shared" si="100"/>
        <v>125683.8</v>
      </c>
      <c r="J141" s="1975"/>
      <c r="K141" s="1975"/>
      <c r="L141" s="1221">
        <v>7</v>
      </c>
      <c r="M141" s="720">
        <f t="shared" si="94"/>
        <v>63294</v>
      </c>
      <c r="N141" s="1220">
        <v>6</v>
      </c>
      <c r="O141" s="720">
        <v>54252</v>
      </c>
      <c r="P141" s="720"/>
      <c r="Q141" s="720">
        <v>0</v>
      </c>
      <c r="R141" s="719">
        <v>2.4</v>
      </c>
      <c r="S141" s="725">
        <f t="shared" si="101"/>
        <v>21700.799999999999</v>
      </c>
      <c r="T141" s="1974"/>
      <c r="U141" s="725"/>
      <c r="V141" s="1974"/>
      <c r="W141" s="725"/>
      <c r="X141" s="725"/>
      <c r="Y141" s="720">
        <f t="shared" si="65"/>
        <v>0</v>
      </c>
      <c r="Z141" s="1911">
        <f>VLOOKUP(A141,'12 - CORPO'!$A$1:$R$1925,18,FALSE)</f>
        <v>1.5</v>
      </c>
      <c r="AA141" s="725">
        <f t="shared" si="102"/>
        <v>13563.000000000015</v>
      </c>
      <c r="AB141" s="719">
        <f t="shared" si="99"/>
        <v>15.4</v>
      </c>
      <c r="AC141" s="720">
        <f t="shared" si="103"/>
        <v>139246.80000000002</v>
      </c>
      <c r="AD141" s="1976">
        <f t="shared" si="104"/>
        <v>15.4</v>
      </c>
      <c r="AE141" s="720">
        <f t="shared" si="105"/>
        <v>139246.79999999999</v>
      </c>
      <c r="AF141" s="38"/>
      <c r="AG141" s="1452">
        <f t="shared" si="75"/>
        <v>0</v>
      </c>
      <c r="AH141" s="1453">
        <f t="shared" si="64"/>
        <v>0</v>
      </c>
    </row>
    <row r="142" spans="1:34" ht="25.5" outlineLevel="1">
      <c r="A142" s="88" t="s">
        <v>448</v>
      </c>
      <c r="B142" s="754" t="s">
        <v>459</v>
      </c>
      <c r="C142" s="1977" t="s">
        <v>473</v>
      </c>
      <c r="D142" s="68" t="s">
        <v>481</v>
      </c>
      <c r="E142" s="1974">
        <v>218.13</v>
      </c>
      <c r="F142" s="722">
        <f t="shared" si="106"/>
        <v>3082</v>
      </c>
      <c r="G142" s="57">
        <f t="shared" si="96"/>
        <v>672276.66</v>
      </c>
      <c r="H142" s="719">
        <v>3081</v>
      </c>
      <c r="I142" s="720">
        <f t="shared" si="100"/>
        <v>672058.53</v>
      </c>
      <c r="J142" s="1975"/>
      <c r="K142" s="1975"/>
      <c r="L142" s="1221">
        <v>440</v>
      </c>
      <c r="M142" s="720">
        <f t="shared" si="94"/>
        <v>95977.2</v>
      </c>
      <c r="N142" s="1220">
        <v>842</v>
      </c>
      <c r="O142" s="720">
        <v>183665.46</v>
      </c>
      <c r="P142" s="720"/>
      <c r="Q142" s="720">
        <v>0</v>
      </c>
      <c r="R142" s="719">
        <v>1800</v>
      </c>
      <c r="S142" s="725">
        <f t="shared" si="101"/>
        <v>392634</v>
      </c>
      <c r="T142" s="1974"/>
      <c r="U142" s="725"/>
      <c r="V142" s="1974"/>
      <c r="W142" s="725"/>
      <c r="X142" s="725"/>
      <c r="Y142" s="720">
        <f t="shared" si="65"/>
        <v>0</v>
      </c>
      <c r="Z142" s="1911">
        <f>VLOOKUP(A142,'12 - CORPO'!$A$1:$R$1925,18,FALSE)</f>
        <v>0</v>
      </c>
      <c r="AA142" s="725">
        <f t="shared" si="102"/>
        <v>0</v>
      </c>
      <c r="AB142" s="719">
        <f>(H142+Z142)</f>
        <v>3081</v>
      </c>
      <c r="AC142" s="720">
        <f t="shared" si="103"/>
        <v>672058.53</v>
      </c>
      <c r="AD142" s="1976">
        <f t="shared" si="104"/>
        <v>3082</v>
      </c>
      <c r="AE142" s="720">
        <f t="shared" si="105"/>
        <v>672276.66</v>
      </c>
      <c r="AF142" s="38"/>
      <c r="AG142" s="1452">
        <f>AD142-AB142</f>
        <v>1</v>
      </c>
      <c r="AH142" s="1453">
        <f t="shared" si="64"/>
        <v>218.13</v>
      </c>
    </row>
    <row r="143" spans="1:34" ht="25.5" outlineLevel="1">
      <c r="A143" s="88" t="s">
        <v>449</v>
      </c>
      <c r="B143" s="754" t="s">
        <v>460</v>
      </c>
      <c r="C143" s="1980" t="s">
        <v>474</v>
      </c>
      <c r="D143" s="68" t="s">
        <v>199</v>
      </c>
      <c r="E143" s="1974">
        <v>12065.21</v>
      </c>
      <c r="F143" s="722">
        <f t="shared" si="106"/>
        <v>20</v>
      </c>
      <c r="G143" s="57">
        <f t="shared" si="96"/>
        <v>241304.2</v>
      </c>
      <c r="H143" s="719">
        <v>18.7</v>
      </c>
      <c r="I143" s="720">
        <f t="shared" si="100"/>
        <v>225619.43</v>
      </c>
      <c r="J143" s="1975"/>
      <c r="K143" s="1975"/>
      <c r="L143" s="1221">
        <v>6</v>
      </c>
      <c r="M143" s="720">
        <f t="shared" si="94"/>
        <v>72391.259999999995</v>
      </c>
      <c r="N143" s="1220">
        <v>4</v>
      </c>
      <c r="O143" s="720">
        <v>48260.84</v>
      </c>
      <c r="P143" s="720"/>
      <c r="Q143" s="720">
        <v>0</v>
      </c>
      <c r="R143" s="719">
        <v>10</v>
      </c>
      <c r="S143" s="725">
        <f t="shared" si="101"/>
        <v>120652.09999999999</v>
      </c>
      <c r="T143" s="1974"/>
      <c r="U143" s="725"/>
      <c r="V143" s="1974"/>
      <c r="W143" s="725"/>
      <c r="X143" s="725"/>
      <c r="Y143" s="720">
        <f t="shared" si="65"/>
        <v>0</v>
      </c>
      <c r="Z143" s="1911">
        <f>VLOOKUP(A143,'12 - CORPO'!$A$1:$R$1925,18,FALSE)</f>
        <v>1.3000000000000007</v>
      </c>
      <c r="AA143" s="725">
        <f>AC143-I143</f>
        <v>15684.76999999999</v>
      </c>
      <c r="AB143" s="719">
        <f t="shared" si="99"/>
        <v>20</v>
      </c>
      <c r="AC143" s="720">
        <f t="shared" si="103"/>
        <v>241304.19999999998</v>
      </c>
      <c r="AD143" s="1976">
        <f>ROUND((J143+R143+L143+T143+N143),5)-X143-P143</f>
        <v>20</v>
      </c>
      <c r="AE143" s="720">
        <f t="shared" si="105"/>
        <v>241304.2</v>
      </c>
      <c r="AF143" s="38"/>
      <c r="AG143" s="1452">
        <f t="shared" si="75"/>
        <v>0</v>
      </c>
      <c r="AH143" s="1453">
        <f t="shared" si="64"/>
        <v>0</v>
      </c>
    </row>
    <row r="144" spans="1:34" ht="38.25" outlineLevel="1">
      <c r="A144" s="88" t="s">
        <v>450</v>
      </c>
      <c r="B144" s="754" t="s">
        <v>461</v>
      </c>
      <c r="C144" s="1981" t="s">
        <v>475</v>
      </c>
      <c r="D144" s="68" t="s">
        <v>478</v>
      </c>
      <c r="E144" s="1974">
        <v>838.03</v>
      </c>
      <c r="F144" s="722">
        <f t="shared" si="106"/>
        <v>7</v>
      </c>
      <c r="G144" s="57">
        <f t="shared" si="96"/>
        <v>5866.21</v>
      </c>
      <c r="H144" s="719">
        <v>7</v>
      </c>
      <c r="I144" s="720">
        <f t="shared" si="100"/>
        <v>5866.21</v>
      </c>
      <c r="J144" s="1975"/>
      <c r="K144" s="1975"/>
      <c r="L144" s="1221"/>
      <c r="M144" s="720">
        <f t="shared" si="94"/>
        <v>0</v>
      </c>
      <c r="N144" s="1220">
        <v>0</v>
      </c>
      <c r="O144" s="720">
        <v>0</v>
      </c>
      <c r="P144" s="720"/>
      <c r="Q144" s="720">
        <v>0</v>
      </c>
      <c r="R144" s="719">
        <v>7</v>
      </c>
      <c r="S144" s="725">
        <f>E144*R144</f>
        <v>5866.21</v>
      </c>
      <c r="T144" s="1974"/>
      <c r="U144" s="720">
        <f>ROUND((E144*T144),2)</f>
        <v>0</v>
      </c>
      <c r="V144" s="1974"/>
      <c r="W144" s="720">
        <f>ROUND((G144*V144),2)</f>
        <v>0</v>
      </c>
      <c r="X144" s="725"/>
      <c r="Y144" s="720">
        <f t="shared" si="65"/>
        <v>0</v>
      </c>
      <c r="Z144" s="1911">
        <f>VLOOKUP(A144,'12 - CORPO'!$A$1:$R$1925,18,FALSE)</f>
        <v>0</v>
      </c>
      <c r="AA144" s="71">
        <f t="shared" si="102"/>
        <v>0</v>
      </c>
      <c r="AB144" s="1901">
        <f>(H144+Z144)</f>
        <v>7</v>
      </c>
      <c r="AC144" s="720">
        <f t="shared" si="103"/>
        <v>5866.21</v>
      </c>
      <c r="AD144" s="1976">
        <f t="shared" si="104"/>
        <v>7</v>
      </c>
      <c r="AE144" s="80">
        <f>ROUND((E144*AD144),2)</f>
        <v>5866.21</v>
      </c>
      <c r="AF144" s="38"/>
      <c r="AG144" s="1452">
        <f t="shared" si="75"/>
        <v>0</v>
      </c>
      <c r="AH144" s="1453">
        <f t="shared" si="64"/>
        <v>0</v>
      </c>
    </row>
    <row r="145" spans="1:34" outlineLevel="1">
      <c r="A145" s="88" t="s">
        <v>818</v>
      </c>
      <c r="B145" s="754">
        <v>42047</v>
      </c>
      <c r="C145" s="1981" t="s">
        <v>828</v>
      </c>
      <c r="D145" s="68" t="s">
        <v>478</v>
      </c>
      <c r="E145" s="1974">
        <v>41.94</v>
      </c>
      <c r="F145" s="722">
        <f t="shared" si="106"/>
        <v>77.3</v>
      </c>
      <c r="G145" s="57">
        <f t="shared" si="96"/>
        <v>3241.96</v>
      </c>
      <c r="H145" s="719">
        <v>57.5</v>
      </c>
      <c r="I145" s="720">
        <f t="shared" si="100"/>
        <v>2411.5500000000002</v>
      </c>
      <c r="J145" s="1975"/>
      <c r="K145" s="1975"/>
      <c r="L145" s="1221">
        <v>57.5</v>
      </c>
      <c r="M145" s="720"/>
      <c r="N145" s="1220">
        <v>19.8</v>
      </c>
      <c r="O145" s="720">
        <v>830.41</v>
      </c>
      <c r="P145" s="720"/>
      <c r="Q145" s="720">
        <v>0</v>
      </c>
      <c r="R145" s="719"/>
      <c r="S145" s="725"/>
      <c r="T145" s="724"/>
      <c r="U145" s="720">
        <f t="shared" ref="U145:U155" si="107">ROUND((E145*T145),2)</f>
        <v>0</v>
      </c>
      <c r="V145" s="724"/>
      <c r="W145" s="720">
        <f t="shared" ref="W145:W155" si="108">ROUND((G145*V145),2)</f>
        <v>0</v>
      </c>
      <c r="X145" s="724"/>
      <c r="Y145" s="720">
        <f t="shared" si="65"/>
        <v>0</v>
      </c>
      <c r="Z145" s="1957">
        <f>VLOOKUP(A145,'12 - CORPO'!$A$1:$R$1925,18,FALSE)</f>
        <v>19.799999999999997</v>
      </c>
      <c r="AA145" s="71">
        <f t="shared" si="102"/>
        <v>830.41199999999935</v>
      </c>
      <c r="AB145" s="1901">
        <f>(H145+Z145)</f>
        <v>77.3</v>
      </c>
      <c r="AC145" s="720">
        <f t="shared" si="103"/>
        <v>3241.9619999999995</v>
      </c>
      <c r="AD145" s="1976">
        <f t="shared" si="104"/>
        <v>77.3</v>
      </c>
      <c r="AE145" s="80">
        <f>ROUND((E145*AD145),2)</f>
        <v>3241.96</v>
      </c>
      <c r="AF145" s="38"/>
      <c r="AG145" s="1452">
        <f t="shared" si="75"/>
        <v>0</v>
      </c>
      <c r="AH145" s="1453">
        <f t="shared" ref="AH145:AH154" si="109">AG145*E145</f>
        <v>0</v>
      </c>
    </row>
    <row r="146" spans="1:34" outlineLevel="1">
      <c r="A146" s="88" t="s">
        <v>819</v>
      </c>
      <c r="B146" s="754">
        <v>7010100340</v>
      </c>
      <c r="C146" s="1981" t="s">
        <v>829</v>
      </c>
      <c r="D146" s="68" t="s">
        <v>478</v>
      </c>
      <c r="E146" s="1974">
        <v>1009.82</v>
      </c>
      <c r="F146" s="722">
        <f t="shared" si="106"/>
        <v>4</v>
      </c>
      <c r="G146" s="57">
        <f t="shared" si="96"/>
        <v>4039.28</v>
      </c>
      <c r="H146" s="719">
        <v>4</v>
      </c>
      <c r="I146" s="720">
        <f t="shared" si="100"/>
        <v>4039.28</v>
      </c>
      <c r="J146" s="1975"/>
      <c r="K146" s="1975"/>
      <c r="L146" s="1221">
        <v>4</v>
      </c>
      <c r="M146" s="720"/>
      <c r="N146" s="1220">
        <v>0</v>
      </c>
      <c r="O146" s="720">
        <v>0</v>
      </c>
      <c r="P146" s="720"/>
      <c r="Q146" s="720">
        <v>0</v>
      </c>
      <c r="R146" s="719"/>
      <c r="S146" s="725"/>
      <c r="T146" s="724"/>
      <c r="U146" s="720">
        <f t="shared" si="107"/>
        <v>0</v>
      </c>
      <c r="V146" s="724"/>
      <c r="W146" s="720">
        <f t="shared" si="108"/>
        <v>0</v>
      </c>
      <c r="X146" s="724"/>
      <c r="Y146" s="720">
        <f t="shared" si="65"/>
        <v>0</v>
      </c>
      <c r="Z146" s="1957">
        <f>VLOOKUP(A146,'12 - CORPO'!$A$1:$R$1925,18,FALSE)</f>
        <v>0</v>
      </c>
      <c r="AA146" s="71">
        <f t="shared" si="102"/>
        <v>0</v>
      </c>
      <c r="AB146" s="1901">
        <f t="shared" si="99"/>
        <v>4</v>
      </c>
      <c r="AC146" s="720">
        <f t="shared" si="103"/>
        <v>4039.28</v>
      </c>
      <c r="AD146" s="1976">
        <f t="shared" si="104"/>
        <v>4</v>
      </c>
      <c r="AE146" s="80">
        <f t="shared" si="105"/>
        <v>4039.28</v>
      </c>
      <c r="AF146" s="38"/>
      <c r="AG146" s="1452">
        <f t="shared" si="75"/>
        <v>0</v>
      </c>
      <c r="AH146" s="1453">
        <f t="shared" si="109"/>
        <v>0</v>
      </c>
    </row>
    <row r="147" spans="1:34" ht="25.5" outlineLevel="1">
      <c r="A147" s="88" t="s">
        <v>820</v>
      </c>
      <c r="B147" s="754">
        <v>42601</v>
      </c>
      <c r="C147" s="1981" t="s">
        <v>830</v>
      </c>
      <c r="D147" s="68" t="s">
        <v>478</v>
      </c>
      <c r="E147" s="1974">
        <v>61.98</v>
      </c>
      <c r="F147" s="722">
        <f t="shared" si="106"/>
        <v>15</v>
      </c>
      <c r="G147" s="57">
        <f t="shared" si="96"/>
        <v>929.7</v>
      </c>
      <c r="H147" s="719">
        <v>15</v>
      </c>
      <c r="I147" s="720">
        <f t="shared" si="100"/>
        <v>929.7</v>
      </c>
      <c r="J147" s="1975"/>
      <c r="K147" s="1975"/>
      <c r="L147" s="1221">
        <v>15</v>
      </c>
      <c r="M147" s="720"/>
      <c r="N147" s="1220">
        <v>0</v>
      </c>
      <c r="O147" s="720">
        <v>0</v>
      </c>
      <c r="P147" s="720"/>
      <c r="Q147" s="720">
        <v>0</v>
      </c>
      <c r="R147" s="719"/>
      <c r="S147" s="725"/>
      <c r="T147" s="724"/>
      <c r="U147" s="720">
        <f t="shared" si="107"/>
        <v>0</v>
      </c>
      <c r="V147" s="724"/>
      <c r="W147" s="720">
        <f t="shared" si="108"/>
        <v>0</v>
      </c>
      <c r="X147" s="724"/>
      <c r="Y147" s="720">
        <f t="shared" si="65"/>
        <v>0</v>
      </c>
      <c r="Z147" s="1957">
        <f>VLOOKUP(A147,'12 - CORPO'!$A$1:$R$1925,18,FALSE)</f>
        <v>0</v>
      </c>
      <c r="AA147" s="71">
        <f t="shared" si="102"/>
        <v>0</v>
      </c>
      <c r="AB147" s="1901">
        <f t="shared" si="99"/>
        <v>15</v>
      </c>
      <c r="AC147" s="720">
        <f t="shared" si="103"/>
        <v>929.69999999999993</v>
      </c>
      <c r="AD147" s="1976">
        <f t="shared" si="104"/>
        <v>15</v>
      </c>
      <c r="AE147" s="80">
        <f t="shared" si="105"/>
        <v>929.7</v>
      </c>
      <c r="AF147" s="38"/>
      <c r="AG147" s="1452">
        <f t="shared" si="75"/>
        <v>0</v>
      </c>
      <c r="AH147" s="1453">
        <f t="shared" si="109"/>
        <v>0</v>
      </c>
    </row>
    <row r="148" spans="1:34" outlineLevel="1">
      <c r="A148" s="88" t="s">
        <v>821</v>
      </c>
      <c r="B148" s="754">
        <v>41224</v>
      </c>
      <c r="C148" s="1981" t="s">
        <v>831</v>
      </c>
      <c r="D148" s="68" t="s">
        <v>1070</v>
      </c>
      <c r="E148" s="1974">
        <v>18.89</v>
      </c>
      <c r="F148" s="722">
        <f t="shared" si="106"/>
        <v>578</v>
      </c>
      <c r="G148" s="57">
        <f t="shared" si="96"/>
        <v>10918.42</v>
      </c>
      <c r="H148" s="719">
        <v>577.67499999999995</v>
      </c>
      <c r="I148" s="720">
        <f>ROUND((E148*H148),2)</f>
        <v>10912.28</v>
      </c>
      <c r="J148" s="1975"/>
      <c r="K148" s="1975"/>
      <c r="L148" s="1221">
        <v>280</v>
      </c>
      <c r="M148" s="720"/>
      <c r="N148" s="1220">
        <v>298</v>
      </c>
      <c r="O148" s="720">
        <v>5629.22</v>
      </c>
      <c r="P148" s="720"/>
      <c r="Q148" s="720">
        <v>0</v>
      </c>
      <c r="R148" s="719"/>
      <c r="S148" s="725"/>
      <c r="T148" s="724"/>
      <c r="U148" s="720">
        <f t="shared" si="107"/>
        <v>0</v>
      </c>
      <c r="V148" s="724"/>
      <c r="W148" s="720">
        <f t="shared" si="108"/>
        <v>0</v>
      </c>
      <c r="X148" s="724"/>
      <c r="Y148" s="720">
        <f t="shared" ref="Y148:Y155" si="110">X148*E148</f>
        <v>0</v>
      </c>
      <c r="Z148" s="1911">
        <f>VLOOKUP(A148,'12 - CORPO'!$A$1:$R$1925,18,FALSE)</f>
        <v>0</v>
      </c>
      <c r="AA148" s="71">
        <f>AC148-I148</f>
        <v>7.4999999924330041E-4</v>
      </c>
      <c r="AB148" s="1901">
        <f t="shared" si="99"/>
        <v>577.67499999999995</v>
      </c>
      <c r="AC148" s="720">
        <f t="shared" si="103"/>
        <v>10912.28075</v>
      </c>
      <c r="AD148" s="1976">
        <f t="shared" si="104"/>
        <v>578</v>
      </c>
      <c r="AE148" s="80">
        <f t="shared" si="105"/>
        <v>10918.42</v>
      </c>
      <c r="AF148" s="38"/>
      <c r="AG148" s="1452">
        <f t="shared" si="75"/>
        <v>0.32500000000004547</v>
      </c>
      <c r="AH148" s="1453">
        <f t="shared" si="109"/>
        <v>6.1392500000008594</v>
      </c>
    </row>
    <row r="149" spans="1:34" outlineLevel="1">
      <c r="A149" s="88" t="s">
        <v>822</v>
      </c>
      <c r="B149" s="754">
        <v>7030100090</v>
      </c>
      <c r="C149" s="1981" t="s">
        <v>832</v>
      </c>
      <c r="D149" s="68" t="s">
        <v>478</v>
      </c>
      <c r="E149" s="1974">
        <v>867.64</v>
      </c>
      <c r="F149" s="722">
        <f t="shared" si="106"/>
        <v>6</v>
      </c>
      <c r="G149" s="57">
        <f t="shared" si="96"/>
        <v>5205.84</v>
      </c>
      <c r="H149" s="719">
        <v>5</v>
      </c>
      <c r="I149" s="720">
        <f t="shared" si="100"/>
        <v>4338.2</v>
      </c>
      <c r="J149" s="1975"/>
      <c r="K149" s="1975"/>
      <c r="L149" s="1221">
        <v>3</v>
      </c>
      <c r="M149" s="720"/>
      <c r="N149" s="1220">
        <v>3</v>
      </c>
      <c r="O149" s="720">
        <v>2602.92</v>
      </c>
      <c r="P149" s="720"/>
      <c r="Q149" s="720">
        <v>0</v>
      </c>
      <c r="R149" s="719"/>
      <c r="S149" s="725"/>
      <c r="T149" s="724"/>
      <c r="U149" s="720">
        <f t="shared" si="107"/>
        <v>0</v>
      </c>
      <c r="V149" s="724"/>
      <c r="W149" s="720">
        <f t="shared" si="108"/>
        <v>0</v>
      </c>
      <c r="X149" s="724"/>
      <c r="Y149" s="720">
        <f t="shared" si="110"/>
        <v>0</v>
      </c>
      <c r="Z149" s="1911">
        <f>VLOOKUP(A149,'12 - CORPO'!$A$1:$R$1925,18,FALSE)</f>
        <v>1</v>
      </c>
      <c r="AA149" s="71">
        <f t="shared" si="102"/>
        <v>867.64000000000033</v>
      </c>
      <c r="AB149" s="1901">
        <f t="shared" si="99"/>
        <v>6</v>
      </c>
      <c r="AC149" s="720">
        <f t="shared" si="103"/>
        <v>5205.84</v>
      </c>
      <c r="AD149" s="1976">
        <f t="shared" si="104"/>
        <v>6</v>
      </c>
      <c r="AE149" s="80">
        <f t="shared" si="105"/>
        <v>5205.84</v>
      </c>
      <c r="AF149" s="38"/>
      <c r="AG149" s="1452">
        <f t="shared" si="75"/>
        <v>0</v>
      </c>
      <c r="AH149" s="1453">
        <f t="shared" si="109"/>
        <v>0</v>
      </c>
    </row>
    <row r="150" spans="1:34" outlineLevel="1">
      <c r="A150" s="88" t="s">
        <v>823</v>
      </c>
      <c r="B150" s="754" t="s">
        <v>833</v>
      </c>
      <c r="C150" s="1981" t="s">
        <v>834</v>
      </c>
      <c r="D150" s="68" t="s">
        <v>478</v>
      </c>
      <c r="E150" s="1974">
        <v>16922.57</v>
      </c>
      <c r="F150" s="722">
        <f t="shared" si="106"/>
        <v>1</v>
      </c>
      <c r="G150" s="57">
        <f t="shared" si="96"/>
        <v>16922.57</v>
      </c>
      <c r="H150" s="719">
        <v>1</v>
      </c>
      <c r="I150" s="720">
        <f t="shared" si="100"/>
        <v>16922.57</v>
      </c>
      <c r="J150" s="1975"/>
      <c r="K150" s="1975"/>
      <c r="L150" s="1221">
        <v>1</v>
      </c>
      <c r="M150" s="720"/>
      <c r="N150" s="1220">
        <v>0</v>
      </c>
      <c r="O150" s="720">
        <v>0</v>
      </c>
      <c r="P150" s="720"/>
      <c r="Q150" s="720">
        <v>0</v>
      </c>
      <c r="R150" s="719"/>
      <c r="S150" s="725"/>
      <c r="T150" s="724"/>
      <c r="U150" s="720">
        <f t="shared" si="107"/>
        <v>0</v>
      </c>
      <c r="V150" s="724"/>
      <c r="W150" s="720">
        <f t="shared" si="108"/>
        <v>0</v>
      </c>
      <c r="X150" s="724"/>
      <c r="Y150" s="720">
        <f t="shared" si="110"/>
        <v>0</v>
      </c>
      <c r="Z150" s="1911">
        <f>VLOOKUP(A150,'12 - CORPO'!$A$1:$R$1925,18,FALSE)</f>
        <v>0</v>
      </c>
      <c r="AA150" s="71">
        <f t="shared" si="102"/>
        <v>0</v>
      </c>
      <c r="AB150" s="1901">
        <f t="shared" si="99"/>
        <v>1</v>
      </c>
      <c r="AC150" s="720">
        <f t="shared" si="103"/>
        <v>16922.57</v>
      </c>
      <c r="AD150" s="1976">
        <f t="shared" si="104"/>
        <v>1</v>
      </c>
      <c r="AE150" s="80">
        <f t="shared" si="105"/>
        <v>16922.57</v>
      </c>
      <c r="AF150" s="38"/>
      <c r="AG150" s="1452">
        <f t="shared" si="75"/>
        <v>0</v>
      </c>
      <c r="AH150" s="1453">
        <f t="shared" si="109"/>
        <v>0</v>
      </c>
    </row>
    <row r="151" spans="1:34" outlineLevel="1">
      <c r="A151" s="88" t="s">
        <v>824</v>
      </c>
      <c r="B151" s="754" t="s">
        <v>835</v>
      </c>
      <c r="C151" s="1981" t="s">
        <v>836</v>
      </c>
      <c r="D151" s="68" t="s">
        <v>478</v>
      </c>
      <c r="E151" s="1974">
        <v>27617.97</v>
      </c>
      <c r="F151" s="722">
        <f t="shared" si="106"/>
        <v>1</v>
      </c>
      <c r="G151" s="57">
        <f t="shared" si="96"/>
        <v>27617.97</v>
      </c>
      <c r="H151" s="719">
        <v>1</v>
      </c>
      <c r="I151" s="720">
        <f t="shared" si="100"/>
        <v>27617.97</v>
      </c>
      <c r="J151" s="1975"/>
      <c r="K151" s="1975"/>
      <c r="L151" s="1221">
        <v>1</v>
      </c>
      <c r="M151" s="720"/>
      <c r="N151" s="1220">
        <v>0</v>
      </c>
      <c r="O151" s="720">
        <v>0</v>
      </c>
      <c r="P151" s="720"/>
      <c r="Q151" s="720">
        <v>0</v>
      </c>
      <c r="R151" s="719"/>
      <c r="S151" s="725"/>
      <c r="T151" s="724"/>
      <c r="U151" s="720">
        <f t="shared" si="107"/>
        <v>0</v>
      </c>
      <c r="V151" s="724"/>
      <c r="W151" s="720">
        <f t="shared" si="108"/>
        <v>0</v>
      </c>
      <c r="X151" s="724"/>
      <c r="Y151" s="720">
        <f t="shared" si="110"/>
        <v>0</v>
      </c>
      <c r="Z151" s="1911">
        <f>VLOOKUP(A151,'12 - CORPO'!$A$1:$R$1925,18,FALSE)</f>
        <v>0</v>
      </c>
      <c r="AA151" s="71">
        <f t="shared" si="102"/>
        <v>0</v>
      </c>
      <c r="AB151" s="1901">
        <f t="shared" si="99"/>
        <v>1</v>
      </c>
      <c r="AC151" s="720">
        <f t="shared" si="103"/>
        <v>27617.97</v>
      </c>
      <c r="AD151" s="1976">
        <f t="shared" si="104"/>
        <v>1</v>
      </c>
      <c r="AE151" s="80">
        <f t="shared" si="105"/>
        <v>27617.97</v>
      </c>
      <c r="AF151" s="38"/>
      <c r="AG151" s="1452">
        <f t="shared" si="75"/>
        <v>0</v>
      </c>
      <c r="AH151" s="1453">
        <f t="shared" si="109"/>
        <v>0</v>
      </c>
    </row>
    <row r="152" spans="1:34" outlineLevel="1">
      <c r="A152" s="88" t="s">
        <v>825</v>
      </c>
      <c r="B152" s="754">
        <v>40893</v>
      </c>
      <c r="C152" s="1981" t="s">
        <v>837</v>
      </c>
      <c r="D152" s="68" t="s">
        <v>478</v>
      </c>
      <c r="E152" s="1974">
        <v>24.23</v>
      </c>
      <c r="F152" s="722">
        <f t="shared" si="106"/>
        <v>506</v>
      </c>
      <c r="G152" s="57">
        <f t="shared" si="96"/>
        <v>12260.38</v>
      </c>
      <c r="H152" s="719">
        <v>506</v>
      </c>
      <c r="I152" s="720">
        <f t="shared" si="100"/>
        <v>12260.38</v>
      </c>
      <c r="J152" s="1975"/>
      <c r="K152" s="1975"/>
      <c r="L152" s="1221">
        <v>26</v>
      </c>
      <c r="M152" s="720"/>
      <c r="N152" s="1220">
        <v>480</v>
      </c>
      <c r="O152" s="720">
        <v>11630.4</v>
      </c>
      <c r="P152" s="720"/>
      <c r="Q152" s="720">
        <v>0</v>
      </c>
      <c r="R152" s="719"/>
      <c r="S152" s="725"/>
      <c r="T152" s="724"/>
      <c r="U152" s="720">
        <f t="shared" si="107"/>
        <v>0</v>
      </c>
      <c r="V152" s="724"/>
      <c r="W152" s="720">
        <f t="shared" si="108"/>
        <v>0</v>
      </c>
      <c r="X152" s="724"/>
      <c r="Y152" s="720">
        <f t="shared" si="110"/>
        <v>0</v>
      </c>
      <c r="Z152" s="1911">
        <f>VLOOKUP(A152,'12 - CORPO'!$A$1:$R$1925,18,FALSE)</f>
        <v>0</v>
      </c>
      <c r="AA152" s="71">
        <f t="shared" si="102"/>
        <v>0</v>
      </c>
      <c r="AB152" s="1901">
        <f t="shared" si="99"/>
        <v>506</v>
      </c>
      <c r="AC152" s="720">
        <f t="shared" si="103"/>
        <v>12260.380000000001</v>
      </c>
      <c r="AD152" s="1976">
        <f t="shared" si="104"/>
        <v>506</v>
      </c>
      <c r="AE152" s="80">
        <f t="shared" si="105"/>
        <v>12260.38</v>
      </c>
      <c r="AF152" s="38"/>
      <c r="AG152" s="1452">
        <f t="shared" si="75"/>
        <v>0</v>
      </c>
      <c r="AH152" s="1453">
        <f t="shared" si="109"/>
        <v>0</v>
      </c>
    </row>
    <row r="153" spans="1:34" ht="14.25" customHeight="1" outlineLevel="1">
      <c r="A153" s="88" t="s">
        <v>826</v>
      </c>
      <c r="B153" s="754">
        <v>37478</v>
      </c>
      <c r="C153" s="1981" t="s">
        <v>838</v>
      </c>
      <c r="D153" s="68" t="s">
        <v>478</v>
      </c>
      <c r="E153" s="1974">
        <v>3685.88</v>
      </c>
      <c r="F153" s="722">
        <v>116</v>
      </c>
      <c r="G153" s="57">
        <f t="shared" si="96"/>
        <v>427562.08</v>
      </c>
      <c r="H153" s="719">
        <v>0</v>
      </c>
      <c r="I153" s="720">
        <f>ROUND((E153*H153),2)</f>
        <v>0</v>
      </c>
      <c r="J153" s="1975"/>
      <c r="K153" s="1975"/>
      <c r="L153" s="1221"/>
      <c r="M153" s="720"/>
      <c r="N153" s="1220">
        <v>0</v>
      </c>
      <c r="O153" s="720">
        <v>0</v>
      </c>
      <c r="P153" s="720">
        <v>120</v>
      </c>
      <c r="Q153" s="720">
        <v>442305.6</v>
      </c>
      <c r="R153" s="719"/>
      <c r="S153" s="725"/>
      <c r="T153" s="724">
        <v>120</v>
      </c>
      <c r="U153" s="720">
        <f t="shared" si="107"/>
        <v>442305.6</v>
      </c>
      <c r="V153" s="724"/>
      <c r="W153" s="720">
        <f t="shared" si="108"/>
        <v>0</v>
      </c>
      <c r="X153" s="724"/>
      <c r="Y153" s="720">
        <f t="shared" si="110"/>
        <v>0</v>
      </c>
      <c r="Z153" s="1911">
        <f>VLOOKUP(A153,'12 - CORPO'!$A$1:$R$1925,18,FALSE)</f>
        <v>0</v>
      </c>
      <c r="AA153" s="71">
        <f t="shared" si="102"/>
        <v>0</v>
      </c>
      <c r="AB153" s="1901">
        <f t="shared" si="99"/>
        <v>0</v>
      </c>
      <c r="AC153" s="720">
        <f t="shared" si="103"/>
        <v>0</v>
      </c>
      <c r="AD153" s="1976">
        <f>ROUND((J153+R153+L153+T153+N153),5)-X153-P153</f>
        <v>0</v>
      </c>
      <c r="AE153" s="80">
        <f>ROUND((E153*AD153),2)</f>
        <v>0</v>
      </c>
      <c r="AF153" s="38"/>
      <c r="AG153" s="1452">
        <f t="shared" si="75"/>
        <v>0</v>
      </c>
      <c r="AH153" s="1453">
        <f t="shared" si="109"/>
        <v>0</v>
      </c>
    </row>
    <row r="154" spans="1:34" outlineLevel="1">
      <c r="A154" s="88" t="s">
        <v>827</v>
      </c>
      <c r="B154" s="754">
        <v>43068</v>
      </c>
      <c r="C154" s="1981" t="s">
        <v>839</v>
      </c>
      <c r="D154" s="68" t="s">
        <v>478</v>
      </c>
      <c r="E154" s="1974">
        <v>86.06</v>
      </c>
      <c r="F154" s="722">
        <f t="shared" si="106"/>
        <v>150</v>
      </c>
      <c r="G154" s="57">
        <f t="shared" si="96"/>
        <v>12909</v>
      </c>
      <c r="H154" s="719">
        <v>147.19999999999999</v>
      </c>
      <c r="I154" s="720">
        <f t="shared" si="100"/>
        <v>12668.03</v>
      </c>
      <c r="J154" s="1975"/>
      <c r="K154" s="1975"/>
      <c r="L154" s="1221"/>
      <c r="M154" s="720"/>
      <c r="N154" s="1220">
        <v>80</v>
      </c>
      <c r="O154" s="720">
        <v>6884.8</v>
      </c>
      <c r="P154" s="720"/>
      <c r="Q154" s="720">
        <v>0</v>
      </c>
      <c r="R154" s="719"/>
      <c r="S154" s="725"/>
      <c r="T154" s="724">
        <v>70</v>
      </c>
      <c r="U154" s="720">
        <f t="shared" si="107"/>
        <v>6024.2</v>
      </c>
      <c r="V154" s="724"/>
      <c r="W154" s="720">
        <f t="shared" si="108"/>
        <v>0</v>
      </c>
      <c r="X154" s="724"/>
      <c r="Y154" s="720">
        <f t="shared" si="110"/>
        <v>0</v>
      </c>
      <c r="Z154" s="1911">
        <f>VLOOKUP(A154,'12 - CORPO'!$A$1:$R$1925,18,FALSE)</f>
        <v>2.5</v>
      </c>
      <c r="AA154" s="71">
        <f t="shared" si="102"/>
        <v>215.15199999999822</v>
      </c>
      <c r="AB154" s="1901">
        <f t="shared" si="99"/>
        <v>149.69999999999999</v>
      </c>
      <c r="AC154" s="720">
        <f t="shared" si="103"/>
        <v>12883.181999999999</v>
      </c>
      <c r="AD154" s="1976">
        <f t="shared" si="104"/>
        <v>150</v>
      </c>
      <c r="AE154" s="80">
        <f t="shared" si="105"/>
        <v>12909</v>
      </c>
      <c r="AF154" s="38"/>
      <c r="AG154" s="1452">
        <f t="shared" si="75"/>
        <v>0.30000000000001137</v>
      </c>
      <c r="AH154" s="1453">
        <f t="shared" si="109"/>
        <v>25.818000000000978</v>
      </c>
    </row>
    <row r="155" spans="1:34" ht="25.5" outlineLevel="1">
      <c r="A155" s="88" t="s">
        <v>842</v>
      </c>
      <c r="B155" s="755" t="s">
        <v>840</v>
      </c>
      <c r="C155" s="1982" t="s">
        <v>841</v>
      </c>
      <c r="D155" s="75" t="s">
        <v>478</v>
      </c>
      <c r="E155" s="1983">
        <v>34.590000000000003</v>
      </c>
      <c r="F155" s="722">
        <f t="shared" si="106"/>
        <v>648</v>
      </c>
      <c r="G155" s="57">
        <f t="shared" si="96"/>
        <v>22414.32</v>
      </c>
      <c r="H155" s="723"/>
      <c r="I155" s="724"/>
      <c r="J155" s="723"/>
      <c r="K155" s="723"/>
      <c r="L155" s="1221"/>
      <c r="M155" s="1984"/>
      <c r="N155" s="723">
        <v>0</v>
      </c>
      <c r="O155" s="723">
        <v>0</v>
      </c>
      <c r="P155" s="1984"/>
      <c r="Q155" s="1984">
        <v>0</v>
      </c>
      <c r="R155" s="1911"/>
      <c r="S155" s="1984"/>
      <c r="T155" s="1985">
        <v>648</v>
      </c>
      <c r="U155" s="78">
        <f t="shared" si="107"/>
        <v>22414.32</v>
      </c>
      <c r="V155" s="1985"/>
      <c r="W155" s="78">
        <f t="shared" si="108"/>
        <v>0</v>
      </c>
      <c r="X155" s="1986"/>
      <c r="Y155" s="720">
        <f t="shared" si="110"/>
        <v>0</v>
      </c>
      <c r="Z155" s="1957">
        <f>VLOOKUP(A155,'12 - CORPO'!$A$1:$R$1925,18,FALSE)</f>
        <v>80.319999999999993</v>
      </c>
      <c r="AA155" s="71">
        <f>AC155-I155</f>
        <v>2778.2687999999998</v>
      </c>
      <c r="AB155" s="1901">
        <f t="shared" si="99"/>
        <v>80.319999999999993</v>
      </c>
      <c r="AC155" s="720">
        <f>E155*AB155</f>
        <v>2778.2687999999998</v>
      </c>
      <c r="AD155" s="1976">
        <f t="shared" si="104"/>
        <v>648</v>
      </c>
      <c r="AE155" s="79">
        <f t="shared" si="105"/>
        <v>22414.32</v>
      </c>
      <c r="AF155" s="38"/>
      <c r="AG155" s="1452">
        <f t="shared" si="75"/>
        <v>567.68000000000006</v>
      </c>
      <c r="AH155" s="1453">
        <f>AG155*E155</f>
        <v>19636.051200000005</v>
      </c>
    </row>
    <row r="156" spans="1:34" outlineLevel="1">
      <c r="A156" s="1937"/>
      <c r="B156" s="1937"/>
      <c r="C156" s="1937" t="s">
        <v>428</v>
      </c>
      <c r="D156" s="1937"/>
      <c r="E156" s="1937"/>
      <c r="F156" s="1937"/>
      <c r="G156" s="1937"/>
      <c r="H156" s="1937"/>
      <c r="I156" s="1937"/>
      <c r="J156" s="1937"/>
      <c r="K156" s="1937"/>
      <c r="L156" s="1221"/>
      <c r="M156" s="1937"/>
      <c r="N156" s="1937">
        <v>0</v>
      </c>
      <c r="O156" s="1937">
        <v>0</v>
      </c>
      <c r="P156" s="1937"/>
      <c r="Q156" s="1937">
        <v>0</v>
      </c>
      <c r="R156" s="1937"/>
      <c r="S156" s="1937"/>
      <c r="T156" s="1937"/>
      <c r="U156" s="1937"/>
      <c r="V156" s="1937"/>
      <c r="W156" s="1937"/>
      <c r="X156" s="1937"/>
      <c r="Y156" s="1937"/>
      <c r="Z156" s="1937"/>
      <c r="AA156" s="1894">
        <f>SUBTOTAL(9,AA123:AA155)</f>
        <v>64321.902579000067</v>
      </c>
      <c r="AB156" s="1894"/>
      <c r="AC156" s="1937"/>
      <c r="AD156" s="1937"/>
      <c r="AE156" s="1894">
        <f>SUBTOTAL(9,AE123:AE155)</f>
        <v>2727537.57</v>
      </c>
      <c r="AF156" s="38"/>
      <c r="AG156" s="1452"/>
      <c r="AH156" s="1449"/>
    </row>
    <row r="157" spans="1:34" outlineLevel="1">
      <c r="A157" s="1937"/>
      <c r="B157" s="1937"/>
      <c r="C157" s="1937"/>
      <c r="D157" s="1937"/>
      <c r="E157" s="1937"/>
      <c r="F157" s="1937"/>
      <c r="G157" s="1937"/>
      <c r="H157" s="1937"/>
      <c r="I157" s="1937"/>
      <c r="J157" s="1937"/>
      <c r="K157" s="1937"/>
      <c r="L157" s="1221"/>
      <c r="M157" s="1937"/>
      <c r="N157" s="1937">
        <v>0</v>
      </c>
      <c r="O157" s="1937">
        <v>0</v>
      </c>
      <c r="P157" s="1937"/>
      <c r="Q157" s="1937">
        <v>0</v>
      </c>
      <c r="R157" s="1937"/>
      <c r="S157" s="1937"/>
      <c r="T157" s="1937"/>
      <c r="U157" s="1937"/>
      <c r="V157" s="1937"/>
      <c r="W157" s="1937"/>
      <c r="X157" s="1937"/>
      <c r="Y157" s="1937"/>
      <c r="Z157" s="1937"/>
      <c r="AA157" s="1894"/>
      <c r="AB157" s="1894"/>
      <c r="AC157" s="1937"/>
      <c r="AD157" s="1937"/>
      <c r="AE157" s="1894"/>
      <c r="AF157" s="721"/>
      <c r="AG157" s="1452"/>
      <c r="AH157" s="1449"/>
    </row>
    <row r="158" spans="1:34" outlineLevel="1">
      <c r="A158" s="1937"/>
      <c r="B158" s="1937"/>
      <c r="C158" s="1937" t="s">
        <v>1207</v>
      </c>
      <c r="D158" s="1937"/>
      <c r="E158" s="1937"/>
      <c r="F158" s="1937"/>
      <c r="G158" s="1937"/>
      <c r="H158" s="1937"/>
      <c r="I158" s="1937"/>
      <c r="J158" s="1937"/>
      <c r="K158" s="1937"/>
      <c r="L158" s="1937"/>
      <c r="M158" s="1937"/>
      <c r="N158" s="1937"/>
      <c r="O158" s="1937"/>
      <c r="P158" s="1937"/>
      <c r="Q158" s="1937"/>
      <c r="R158" s="1937"/>
      <c r="S158" s="1937"/>
      <c r="T158" s="1937"/>
      <c r="U158" s="1937"/>
      <c r="V158" s="1937"/>
      <c r="W158" s="1937"/>
      <c r="X158" s="1937"/>
      <c r="Y158" s="1937"/>
      <c r="Z158" s="1937"/>
      <c r="AA158" s="1894">
        <v>94721.97</v>
      </c>
      <c r="AB158" s="1894"/>
      <c r="AC158" s="1937"/>
      <c r="AD158" s="1937"/>
      <c r="AE158" s="1894"/>
      <c r="AF158" s="38"/>
      <c r="AG158" s="1452"/>
      <c r="AH158" s="1453">
        <f>SUM(AH17:AH155)</f>
        <v>5746706.2215353986</v>
      </c>
    </row>
    <row r="159" spans="1:34" outlineLevel="1">
      <c r="A159" s="1987"/>
      <c r="B159" s="1988"/>
      <c r="C159" s="1989"/>
      <c r="D159" s="1990"/>
      <c r="E159" s="1991"/>
      <c r="F159" s="1992"/>
      <c r="G159" s="1993"/>
      <c r="H159" s="1994"/>
      <c r="I159" s="1995"/>
      <c r="J159" s="1995"/>
      <c r="K159" s="1995"/>
      <c r="L159" s="1995"/>
      <c r="M159" s="1995"/>
      <c r="N159" s="1995"/>
      <c r="O159" s="1995"/>
      <c r="P159" s="1995"/>
      <c r="Q159" s="1995"/>
      <c r="R159" s="1995"/>
      <c r="S159" s="1995"/>
      <c r="T159" s="1995"/>
      <c r="U159" s="1995"/>
      <c r="V159" s="1995"/>
      <c r="W159" s="1995"/>
      <c r="X159" s="1995"/>
      <c r="Y159" s="1995"/>
      <c r="Z159" s="1994"/>
      <c r="AA159" s="1995"/>
      <c r="AB159" s="1994"/>
      <c r="AC159" s="1995"/>
      <c r="AD159" s="1994"/>
      <c r="AE159" s="1995"/>
      <c r="AF159" s="38"/>
      <c r="AG159" s="1452"/>
      <c r="AH159" s="1449"/>
    </row>
    <row r="160" spans="1:34" outlineLevel="1">
      <c r="A160" s="1987"/>
      <c r="B160" s="1988"/>
      <c r="C160" s="1989"/>
      <c r="D160" s="1990"/>
      <c r="E160" s="1991"/>
      <c r="F160" s="1992"/>
      <c r="G160" s="1993"/>
      <c r="H160" s="1994"/>
      <c r="I160" s="1995"/>
      <c r="J160" s="1995"/>
      <c r="K160" s="1995"/>
      <c r="L160" s="1995"/>
      <c r="M160" s="1995"/>
      <c r="N160" s="1995"/>
      <c r="O160" s="1995"/>
      <c r="P160" s="1995"/>
      <c r="Q160" s="1995"/>
      <c r="R160" s="1995"/>
      <c r="S160" s="1995"/>
      <c r="T160" s="1995"/>
      <c r="U160" s="1995"/>
      <c r="V160" s="1995"/>
      <c r="W160" s="1995"/>
      <c r="X160" s="1995"/>
      <c r="Y160" s="1995"/>
      <c r="Z160" s="1994"/>
      <c r="AA160" s="1995"/>
      <c r="AB160" s="1994"/>
      <c r="AC160" s="1995"/>
      <c r="AD160" s="1994"/>
      <c r="AE160" s="1995"/>
      <c r="AF160" s="38"/>
      <c r="AG160" s="1452"/>
      <c r="AH160" s="1449"/>
    </row>
    <row r="161" spans="1:34">
      <c r="A161" s="2443" t="s">
        <v>236</v>
      </c>
      <c r="B161" s="2443"/>
      <c r="C161" s="2443"/>
      <c r="D161" s="2443"/>
      <c r="E161" s="1996"/>
      <c r="F161" s="1997"/>
      <c r="G161" s="1998">
        <v>13567042.42</v>
      </c>
      <c r="H161" s="1999"/>
      <c r="I161" s="1998">
        <v>12050352.360000001</v>
      </c>
      <c r="J161" s="1998"/>
      <c r="K161" s="1998">
        <v>455077.79000000004</v>
      </c>
      <c r="L161" s="1998"/>
      <c r="M161" s="1998">
        <v>969248.05</v>
      </c>
      <c r="N161" s="1998"/>
      <c r="O161" s="1998"/>
      <c r="P161" s="1998"/>
      <c r="Q161" s="1998"/>
      <c r="R161" s="1998"/>
      <c r="S161" s="1998">
        <v>1604860.1973000001</v>
      </c>
      <c r="T161" s="1998"/>
      <c r="U161" s="1998">
        <v>470744.12</v>
      </c>
      <c r="V161" s="1998"/>
      <c r="W161" s="1998"/>
      <c r="X161" s="1998"/>
      <c r="Y161" s="1998">
        <v>1720864.1357982894</v>
      </c>
      <c r="Z161" s="1998"/>
      <c r="AA161" s="1998">
        <f>SUM(AA31,AA71,AA121,AA156)-AA158</f>
        <v>605196.95257900027</v>
      </c>
      <c r="AB161" s="1998"/>
      <c r="AC161" s="1998">
        <v>12750271.2789071</v>
      </c>
      <c r="AD161" s="1998"/>
      <c r="AE161" s="1998">
        <v>16931693.510000002</v>
      </c>
      <c r="AF161" s="98"/>
      <c r="AG161" s="1454"/>
      <c r="AH161" s="1455"/>
    </row>
    <row r="162" spans="1:34" ht="22.5" customHeight="1">
      <c r="A162" s="99"/>
      <c r="B162" s="100"/>
      <c r="C162" s="100"/>
      <c r="D162" s="100"/>
      <c r="E162" s="100"/>
      <c r="F162" s="101"/>
      <c r="G162" s="102">
        <v>13567042.42</v>
      </c>
      <c r="H162" s="103"/>
      <c r="I162" s="104"/>
      <c r="J162" s="104"/>
      <c r="K162" s="104"/>
      <c r="L162" s="104"/>
      <c r="M162" s="104"/>
      <c r="N162" s="104"/>
      <c r="O162" s="104"/>
      <c r="P162" s="104"/>
      <c r="Q162" s="104"/>
      <c r="R162" s="104"/>
      <c r="S162" s="104"/>
      <c r="T162" s="104"/>
      <c r="U162" s="104"/>
      <c r="V162" s="104"/>
      <c r="W162" s="104"/>
      <c r="X162" s="104"/>
      <c r="Y162" s="104"/>
      <c r="Z162" s="36"/>
      <c r="AA162" s="105">
        <v>699918.92028294422</v>
      </c>
      <c r="AB162" s="105"/>
      <c r="AC162" s="105"/>
      <c r="AD162" s="105"/>
      <c r="AE162" s="105"/>
      <c r="AF162" s="106"/>
    </row>
    <row r="163" spans="1:34" ht="15.75">
      <c r="A163" s="99"/>
      <c r="B163" s="100"/>
      <c r="C163" s="107"/>
      <c r="D163" s="100"/>
      <c r="E163" s="108"/>
      <c r="F163" s="101"/>
      <c r="G163" s="102"/>
      <c r="H163" s="103"/>
      <c r="I163" s="109"/>
      <c r="J163" s="109"/>
      <c r="K163" s="109"/>
      <c r="L163" s="109"/>
      <c r="M163" s="109"/>
      <c r="N163" s="109"/>
      <c r="O163" s="109"/>
      <c r="P163" s="109"/>
      <c r="Q163" s="109"/>
      <c r="R163" s="109"/>
      <c r="S163" s="109"/>
      <c r="T163" s="109"/>
      <c r="U163" s="109"/>
      <c r="V163" s="109"/>
      <c r="W163" s="109"/>
      <c r="X163" s="109"/>
      <c r="Y163" s="109"/>
      <c r="Z163" s="36"/>
      <c r="AA163" s="36"/>
      <c r="AB163" s="105"/>
      <c r="AC163" s="110"/>
      <c r="AD163" s="110"/>
      <c r="AE163" s="35"/>
      <c r="AF163" s="38"/>
    </row>
    <row r="164" spans="1:34" ht="15.75">
      <c r="A164" s="99"/>
      <c r="B164" s="100"/>
      <c r="C164" s="107"/>
      <c r="D164" s="100"/>
      <c r="E164" s="108"/>
      <c r="F164" s="101"/>
      <c r="G164" s="102"/>
      <c r="H164" s="103"/>
      <c r="I164" s="109"/>
      <c r="J164" s="109"/>
      <c r="K164" s="109"/>
      <c r="L164" s="109"/>
      <c r="M164" s="109"/>
      <c r="N164" s="109"/>
      <c r="O164" s="109"/>
      <c r="P164" s="109"/>
      <c r="Q164" s="109"/>
      <c r="R164" s="109"/>
      <c r="S164" s="109"/>
      <c r="T164" s="109"/>
      <c r="U164" s="109"/>
      <c r="V164" s="109"/>
      <c r="W164" s="109"/>
      <c r="X164" s="109"/>
      <c r="Y164" s="109"/>
      <c r="Z164" s="36"/>
      <c r="AA164" s="36"/>
      <c r="AB164" s="105"/>
      <c r="AC164" s="110"/>
      <c r="AD164" s="110"/>
      <c r="AE164" s="35"/>
      <c r="AF164" s="38"/>
    </row>
    <row r="165" spans="1:34" ht="15.75">
      <c r="A165" s="30"/>
      <c r="B165" s="31"/>
      <c r="C165" s="111"/>
      <c r="D165" s="112"/>
      <c r="E165" s="108"/>
      <c r="F165" s="101"/>
      <c r="G165" s="102"/>
      <c r="H165" s="34"/>
      <c r="I165" s="35"/>
      <c r="J165" s="35"/>
      <c r="K165" s="35"/>
      <c r="L165" s="35"/>
      <c r="M165" s="35"/>
      <c r="N165" s="35"/>
      <c r="O165" s="35"/>
      <c r="P165" s="35"/>
      <c r="Q165" s="35"/>
      <c r="R165" s="35"/>
      <c r="S165" s="35"/>
      <c r="T165" s="35"/>
      <c r="U165" s="35"/>
      <c r="V165" s="35"/>
      <c r="W165" s="35"/>
      <c r="X165" s="35"/>
      <c r="Y165" s="35"/>
      <c r="Z165" s="36"/>
      <c r="AA165" s="37"/>
      <c r="AB165" s="37"/>
      <c r="AC165" s="35"/>
      <c r="AD165" s="35"/>
      <c r="AE165" s="35"/>
      <c r="AF165" s="38"/>
    </row>
    <row r="166" spans="1:34">
      <c r="AA166" s="1000"/>
      <c r="AE166" s="752"/>
    </row>
    <row r="167" spans="1:34">
      <c r="AA167" s="752">
        <f>AA161-AA163</f>
        <v>605196.95257900027</v>
      </c>
    </row>
    <row r="168" spans="1:34">
      <c r="AE168" s="1044"/>
    </row>
    <row r="169" spans="1:34">
      <c r="AC169" s="1045"/>
    </row>
    <row r="319" spans="30:30">
      <c r="AD319">
        <f>SUM(AD313:AD318)</f>
        <v>0</v>
      </c>
    </row>
    <row r="426" spans="9:25">
      <c r="I426" s="113">
        <v>11</v>
      </c>
      <c r="J426" s="113"/>
      <c r="K426" s="113"/>
      <c r="L426" s="113"/>
      <c r="M426" s="113"/>
      <c r="N426" s="113"/>
      <c r="O426" s="113"/>
      <c r="P426" s="113"/>
      <c r="Q426" s="113"/>
      <c r="R426" s="113"/>
      <c r="S426" s="113"/>
      <c r="T426" s="113"/>
      <c r="U426" s="113"/>
      <c r="V426" s="113"/>
      <c r="W426" s="113"/>
      <c r="X426" s="113"/>
      <c r="Y426" s="113"/>
    </row>
    <row r="1325" spans="27:27">
      <c r="AA1325">
        <v>485.17200000000003</v>
      </c>
    </row>
  </sheetData>
  <autoFilter ref="A14:AF157" xr:uid="{00000000-0009-0000-0000-000002000000}"/>
  <mergeCells count="30">
    <mergeCell ref="AG13:AH13"/>
    <mergeCell ref="AD13:AE13"/>
    <mergeCell ref="AB13:AC13"/>
    <mergeCell ref="A2:AC5"/>
    <mergeCell ref="A6:C6"/>
    <mergeCell ref="D6:H6"/>
    <mergeCell ref="I6:AC6"/>
    <mergeCell ref="A7:B7"/>
    <mergeCell ref="Z7:AC7"/>
    <mergeCell ref="T13:U13"/>
    <mergeCell ref="L13:M13"/>
    <mergeCell ref="F9:H9"/>
    <mergeCell ref="F10:H10"/>
    <mergeCell ref="X13:Y13"/>
    <mergeCell ref="V13:W13"/>
    <mergeCell ref="A161:D161"/>
    <mergeCell ref="A8:B8"/>
    <mergeCell ref="A9:B9"/>
    <mergeCell ref="A10:B10"/>
    <mergeCell ref="A12:AC12"/>
    <mergeCell ref="A13:B13"/>
    <mergeCell ref="C13:C14"/>
    <mergeCell ref="D13:D14"/>
    <mergeCell ref="E13:G13"/>
    <mergeCell ref="H13:I13"/>
    <mergeCell ref="Z13:AA13"/>
    <mergeCell ref="J13:K13"/>
    <mergeCell ref="R13:S13"/>
    <mergeCell ref="N13:O13"/>
    <mergeCell ref="P13:Q13"/>
  </mergeCells>
  <printOptions horizontalCentered="1"/>
  <pageMargins left="0.39370078740157483" right="0.39370078740157483" top="0.78740157480314965" bottom="0.98425196850393704" header="0" footer="0.31496062992125984"/>
  <pageSetup paperSize="9" scale="46" firstPageNumber="34" fitToWidth="0" fitToHeight="0" orientation="landscape" horizontalDpi="4294967293" r:id="rId1"/>
  <cellWatches>
    <cellWatch r="AA121"/>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filterMode="1">
    <tabColor rgb="FF002060"/>
  </sheetPr>
  <dimension ref="A1:AT2258"/>
  <sheetViews>
    <sheetView showGridLines="0" view="pageBreakPreview" topLeftCell="A1210" zoomScale="64" zoomScaleNormal="80" zoomScaleSheetLayoutView="64" zoomScalePageLayoutView="55" workbookViewId="0">
      <pane xSplit="11" topLeftCell="L1" activePane="topRight" state="frozen"/>
      <selection activeCell="A8" sqref="A8"/>
      <selection pane="topRight" activeCell="R1413" sqref="R1413"/>
    </sheetView>
  </sheetViews>
  <sheetFormatPr defaultColWidth="9.140625" defaultRowHeight="18" outlineLevelRow="1"/>
  <cols>
    <col min="1" max="1" width="9.5703125" style="1770" customWidth="1"/>
    <col min="2" max="2" width="16.85546875" style="668" customWidth="1"/>
    <col min="3" max="3" width="67" style="669" customWidth="1"/>
    <col min="4" max="4" width="10.140625" style="670" customWidth="1"/>
    <col min="5" max="5" width="2.7109375" style="662" customWidth="1"/>
    <col min="6" max="6" width="7.5703125" style="663" customWidth="1"/>
    <col min="7" max="7" width="10.7109375" style="670" customWidth="1"/>
    <col min="8" max="8" width="2.7109375" style="164" customWidth="1"/>
    <col min="9" max="9" width="10.7109375" style="663" customWidth="1"/>
    <col min="10" max="10" width="12.85546875" style="671" customWidth="1"/>
    <col min="11" max="11" width="17.28515625" style="672" customWidth="1"/>
    <col min="12" max="12" width="15.28515625" style="672" customWidth="1"/>
    <col min="13" max="13" width="19.85546875" style="671" customWidth="1"/>
    <col min="14" max="14" width="13.85546875" style="673" customWidth="1"/>
    <col min="15" max="15" width="15.5703125" style="674" customWidth="1"/>
    <col min="16" max="16" width="20.140625" style="164" customWidth="1"/>
    <col min="17" max="17" width="27.42578125" style="665" customWidth="1"/>
    <col min="18" max="18" width="21.140625" style="675" customWidth="1"/>
    <col min="19" max="19" width="14.85546875" style="667" bestFit="1" customWidth="1"/>
    <col min="20" max="20" width="15.85546875" style="164" customWidth="1"/>
    <col min="21" max="21" width="45.42578125" style="662" customWidth="1"/>
    <col min="22" max="22" width="15.7109375" style="662" customWidth="1"/>
    <col min="23" max="23" width="30.42578125" style="165" customWidth="1"/>
    <col min="24" max="25" width="5.42578125" style="165" customWidth="1"/>
    <col min="26" max="42" width="9.140625" style="165" customWidth="1"/>
    <col min="43" max="43" width="11.5703125" style="165" customWidth="1"/>
    <col min="44" max="44" width="18.85546875" style="165" bestFit="1" customWidth="1"/>
    <col min="45" max="45" width="17" style="165" customWidth="1"/>
    <col min="46" max="46" width="13.28515625" style="165" customWidth="1"/>
    <col min="47" max="47" width="24.28515625" style="165" customWidth="1"/>
    <col min="48" max="48" width="19" style="165" bestFit="1" customWidth="1"/>
    <col min="49" max="49" width="27.85546875" style="165" customWidth="1"/>
    <col min="50" max="50" width="14.28515625" style="165" customWidth="1"/>
    <col min="51" max="232" width="9.140625" style="165" customWidth="1"/>
    <col min="233" max="233" width="13.42578125" style="165" customWidth="1"/>
    <col min="234" max="234" width="55.5703125" style="165" customWidth="1"/>
    <col min="235" max="235" width="7.7109375" style="165" customWidth="1"/>
    <col min="236" max="236" width="1.5703125" style="165" customWidth="1"/>
    <col min="237" max="237" width="7.28515625" style="165" customWidth="1"/>
    <col min="238" max="238" width="7.7109375" style="165" customWidth="1"/>
    <col min="239" max="239" width="1.5703125" style="165" customWidth="1"/>
    <col min="240" max="240" width="7.28515625" style="165" customWidth="1"/>
    <col min="241" max="241" width="4.7109375" style="165" customWidth="1"/>
    <col min="242" max="242" width="13.85546875" style="165" customWidth="1"/>
    <col min="243" max="244" width="13.140625" style="165" customWidth="1"/>
    <col min="245" max="245" width="12.7109375" style="165" customWidth="1"/>
    <col min="246" max="246" width="6.85546875" style="165" customWidth="1"/>
    <col min="247" max="16384" width="9.140625" style="165"/>
  </cols>
  <sheetData>
    <row r="1" spans="1:46" s="40" customFormat="1" ht="12.75" customHeight="1">
      <c r="A1" s="1769"/>
      <c r="B1" s="2634" t="s">
        <v>0</v>
      </c>
      <c r="C1" s="2635"/>
      <c r="D1" s="2635"/>
      <c r="E1" s="2635"/>
      <c r="F1" s="2635"/>
      <c r="G1" s="2635"/>
      <c r="H1" s="2635"/>
      <c r="I1" s="2635"/>
      <c r="J1" s="2635"/>
      <c r="K1" s="2635"/>
      <c r="L1" s="2635"/>
      <c r="M1" s="2635"/>
      <c r="N1" s="2635"/>
      <c r="O1" s="2635"/>
      <c r="P1" s="2635"/>
      <c r="Q1" s="2635"/>
      <c r="R1" s="2635"/>
      <c r="S1" s="2635"/>
      <c r="T1" s="2635"/>
      <c r="U1" s="2636"/>
      <c r="V1" s="117"/>
    </row>
    <row r="2" spans="1:46" s="40" customFormat="1" ht="12.75" customHeight="1">
      <c r="A2" s="1769"/>
      <c r="B2" s="2714"/>
      <c r="C2" s="2715"/>
      <c r="D2" s="2715"/>
      <c r="E2" s="2715"/>
      <c r="F2" s="2715"/>
      <c r="G2" s="2715"/>
      <c r="H2" s="2715"/>
      <c r="I2" s="2715"/>
      <c r="J2" s="2715"/>
      <c r="K2" s="2715"/>
      <c r="L2" s="2715"/>
      <c r="M2" s="2715"/>
      <c r="N2" s="2715"/>
      <c r="O2" s="2715"/>
      <c r="P2" s="2715"/>
      <c r="Q2" s="2715"/>
      <c r="R2" s="2715"/>
      <c r="S2" s="2715"/>
      <c r="T2" s="2715"/>
      <c r="U2" s="2716"/>
      <c r="V2" s="117"/>
    </row>
    <row r="3" spans="1:46" s="40" customFormat="1" ht="12.75" customHeight="1">
      <c r="A3" s="1769"/>
      <c r="B3" s="2714"/>
      <c r="C3" s="2715"/>
      <c r="D3" s="2715"/>
      <c r="E3" s="2715"/>
      <c r="F3" s="2715"/>
      <c r="G3" s="2715"/>
      <c r="H3" s="2715"/>
      <c r="I3" s="2715"/>
      <c r="J3" s="2715"/>
      <c r="K3" s="2715"/>
      <c r="L3" s="2715"/>
      <c r="M3" s="2715"/>
      <c r="N3" s="2715"/>
      <c r="O3" s="2715"/>
      <c r="P3" s="2715"/>
      <c r="Q3" s="2715"/>
      <c r="R3" s="2715"/>
      <c r="S3" s="2715"/>
      <c r="T3" s="2715"/>
      <c r="U3" s="2716"/>
      <c r="V3" s="117"/>
    </row>
    <row r="4" spans="1:46" s="40" customFormat="1" ht="12.75" customHeight="1">
      <c r="A4" s="1769"/>
      <c r="B4" s="2717"/>
      <c r="C4" s="2718"/>
      <c r="D4" s="2718"/>
      <c r="E4" s="2718"/>
      <c r="F4" s="2718"/>
      <c r="G4" s="2718"/>
      <c r="H4" s="2718"/>
      <c r="I4" s="2718"/>
      <c r="J4" s="2718"/>
      <c r="K4" s="2718"/>
      <c r="L4" s="2718"/>
      <c r="M4" s="2718"/>
      <c r="N4" s="2718"/>
      <c r="O4" s="2718"/>
      <c r="P4" s="2718"/>
      <c r="Q4" s="2718"/>
      <c r="R4" s="2718"/>
      <c r="S4" s="2718"/>
      <c r="T4" s="2718"/>
      <c r="U4" s="2719"/>
      <c r="V4" s="117"/>
    </row>
    <row r="5" spans="1:46" s="40" customFormat="1">
      <c r="A5" s="1769"/>
      <c r="B5" s="2720" t="s">
        <v>114</v>
      </c>
      <c r="C5" s="2721"/>
      <c r="D5" s="2722"/>
      <c r="E5" s="2720" t="s">
        <v>115</v>
      </c>
      <c r="F5" s="2721"/>
      <c r="G5" s="2721"/>
      <c r="H5" s="2721"/>
      <c r="I5" s="2721"/>
      <c r="J5" s="2721"/>
      <c r="K5" s="2721"/>
      <c r="L5" s="2721"/>
      <c r="M5" s="2721"/>
      <c r="N5" s="2722"/>
      <c r="O5" s="2720" t="s">
        <v>116</v>
      </c>
      <c r="P5" s="2721"/>
      <c r="Q5" s="2721"/>
      <c r="R5" s="2721"/>
      <c r="S5" s="2721"/>
      <c r="T5" s="2721"/>
      <c r="U5" s="2722"/>
      <c r="V5" s="117"/>
    </row>
    <row r="6" spans="1:46" s="40" customFormat="1">
      <c r="A6" s="1769"/>
      <c r="B6" s="119" t="s">
        <v>237</v>
      </c>
      <c r="C6" s="2723" t="str">
        <f>'11 - FINANCEIRA'!C7</f>
        <v>Galerias Santa Rita no Município de Vila Velha/ES</v>
      </c>
      <c r="D6" s="2724"/>
      <c r="E6" s="120" t="s">
        <v>238</v>
      </c>
      <c r="F6" s="121"/>
      <c r="G6" s="121"/>
      <c r="H6" s="121"/>
      <c r="I6" s="122"/>
      <c r="J6" s="122" t="s">
        <v>2</v>
      </c>
      <c r="K6" s="121"/>
      <c r="L6" s="121"/>
      <c r="M6" s="123"/>
      <c r="N6" s="124"/>
      <c r="O6" s="125" t="s">
        <v>119</v>
      </c>
      <c r="P6" s="126"/>
      <c r="Q6" s="127" t="s">
        <v>120</v>
      </c>
      <c r="R6" s="128"/>
      <c r="S6" s="128"/>
      <c r="T6" s="128"/>
      <c r="U6" s="129"/>
      <c r="V6" s="117"/>
      <c r="AS6" s="130"/>
      <c r="AT6" s="131"/>
    </row>
    <row r="7" spans="1:46" s="40" customFormat="1">
      <c r="A7" s="1769"/>
      <c r="B7" s="132" t="s">
        <v>121</v>
      </c>
      <c r="C7" s="2725" t="str">
        <f>'11 - FINANCEIRA'!C8</f>
        <v>Construção de Galerias de Macrodrenagem no Bairro Santa Rita</v>
      </c>
      <c r="D7" s="2726"/>
      <c r="E7" s="133" t="s">
        <v>239</v>
      </c>
      <c r="F7" s="134"/>
      <c r="G7" s="134"/>
      <c r="H7" s="134"/>
      <c r="I7" s="135"/>
      <c r="J7" s="135" t="s">
        <v>6</v>
      </c>
      <c r="K7" s="134"/>
      <c r="L7" s="134"/>
      <c r="M7" s="136"/>
      <c r="N7" s="124"/>
      <c r="O7" s="125" t="s">
        <v>123</v>
      </c>
      <c r="P7" s="126"/>
      <c r="Q7" s="137" t="s">
        <v>124</v>
      </c>
      <c r="R7" s="118"/>
      <c r="S7" s="118"/>
      <c r="T7" s="118"/>
      <c r="U7" s="129"/>
      <c r="V7" s="117"/>
      <c r="AS7" s="138"/>
      <c r="AT7" s="131"/>
    </row>
    <row r="8" spans="1:46" s="40" customFormat="1">
      <c r="A8" s="1769"/>
      <c r="B8" s="132" t="s">
        <v>125</v>
      </c>
      <c r="C8" s="2709">
        <f>'11 - FINANCEIRA'!C9</f>
        <v>28</v>
      </c>
      <c r="D8" s="2710"/>
      <c r="E8" s="133" t="s">
        <v>126</v>
      </c>
      <c r="F8" s="134"/>
      <c r="G8" s="134"/>
      <c r="H8" s="134"/>
      <c r="I8" s="139"/>
      <c r="J8" s="963">
        <v>44774</v>
      </c>
      <c r="K8" s="134"/>
      <c r="L8" s="134"/>
      <c r="M8" s="134"/>
      <c r="N8" s="124"/>
      <c r="O8" s="125" t="s">
        <v>126</v>
      </c>
      <c r="P8" s="126"/>
      <c r="Q8" s="963">
        <v>44231</v>
      </c>
      <c r="R8" s="118"/>
      <c r="S8" s="118"/>
      <c r="T8" s="118"/>
      <c r="U8" s="129"/>
      <c r="V8" s="117"/>
      <c r="AS8" s="138"/>
      <c r="AT8" s="41"/>
    </row>
    <row r="9" spans="1:46" s="40" customFormat="1">
      <c r="A9" s="1769"/>
      <c r="B9" s="132" t="s">
        <v>127</v>
      </c>
      <c r="C9" s="2709" t="str">
        <f>'11 - FINANCEIRA'!C10</f>
        <v>01/06/2025 a 31/09/2025</v>
      </c>
      <c r="D9" s="2710"/>
      <c r="E9" s="140" t="s">
        <v>240</v>
      </c>
      <c r="F9" s="141"/>
      <c r="G9" s="141"/>
      <c r="H9" s="141"/>
      <c r="I9" s="142"/>
      <c r="J9" s="143">
        <v>44823</v>
      </c>
      <c r="K9" s="141"/>
      <c r="L9" s="141"/>
      <c r="M9" s="134"/>
      <c r="N9" s="124"/>
      <c r="O9" s="125" t="s">
        <v>128</v>
      </c>
      <c r="P9" s="126"/>
      <c r="Q9" s="963">
        <v>44244</v>
      </c>
      <c r="R9" s="118"/>
      <c r="S9" s="118"/>
      <c r="T9" s="118"/>
      <c r="U9" s="129"/>
      <c r="V9" s="117"/>
    </row>
    <row r="10" spans="1:46" s="40" customFormat="1">
      <c r="A10" s="1769"/>
      <c r="B10" s="144"/>
      <c r="C10" s="145"/>
      <c r="D10" s="146"/>
      <c r="E10" s="147"/>
      <c r="F10" s="148"/>
      <c r="G10" s="145"/>
      <c r="H10" s="145"/>
      <c r="I10" s="145"/>
      <c r="J10" s="149"/>
      <c r="K10" s="150"/>
      <c r="L10" s="151"/>
      <c r="M10" s="152"/>
      <c r="N10" s="153"/>
      <c r="O10" s="154"/>
      <c r="P10" s="154"/>
      <c r="Q10" s="154"/>
      <c r="R10" s="154"/>
      <c r="S10" s="154"/>
      <c r="T10" s="154"/>
      <c r="U10" s="155"/>
      <c r="V10" s="117"/>
    </row>
    <row r="11" spans="1:46" s="40" customFormat="1">
      <c r="A11" s="1769"/>
      <c r="B11" s="2711" t="s">
        <v>241</v>
      </c>
      <c r="C11" s="2712"/>
      <c r="D11" s="2712"/>
      <c r="E11" s="2712"/>
      <c r="F11" s="2712"/>
      <c r="G11" s="2712"/>
      <c r="H11" s="2712"/>
      <c r="I11" s="2712"/>
      <c r="J11" s="2712"/>
      <c r="K11" s="2712"/>
      <c r="L11" s="2712"/>
      <c r="M11" s="2712"/>
      <c r="N11" s="2712"/>
      <c r="O11" s="2712"/>
      <c r="P11" s="2712"/>
      <c r="Q11" s="2712"/>
      <c r="R11" s="2712"/>
      <c r="S11" s="2712"/>
      <c r="T11" s="2712"/>
      <c r="U11" s="2713"/>
      <c r="V11" s="117"/>
    </row>
    <row r="12" spans="1:46" s="40" customFormat="1">
      <c r="A12" s="1769"/>
      <c r="B12" s="2019"/>
      <c r="C12" s="156"/>
      <c r="D12" s="156"/>
      <c r="E12" s="156"/>
      <c r="F12" s="156"/>
      <c r="G12" s="156"/>
      <c r="H12" s="156"/>
      <c r="I12" s="156"/>
      <c r="J12" s="156"/>
      <c r="K12" s="156"/>
      <c r="L12" s="156"/>
      <c r="M12" s="156"/>
      <c r="N12" s="156"/>
      <c r="O12" s="156"/>
      <c r="P12" s="156"/>
      <c r="Q12" s="156"/>
      <c r="R12" s="156"/>
      <c r="S12" s="156"/>
      <c r="T12" s="156"/>
      <c r="U12" s="2020"/>
      <c r="V12" s="117"/>
    </row>
    <row r="13" spans="1:46">
      <c r="B13" s="157" t="str">
        <f>LEFT(A22,3)</f>
        <v>1.0</v>
      </c>
      <c r="C13" s="158" t="str">
        <f>VLOOKUP(LEFT(A22,3),'11 - FINANCEIRA'!_xlnm.Print_Area,2,FALSE)</f>
        <v>Administração da Obra</v>
      </c>
      <c r="D13" s="158"/>
      <c r="E13" s="159"/>
      <c r="F13" s="158"/>
      <c r="G13" s="968"/>
      <c r="H13" s="969"/>
      <c r="I13" s="969"/>
      <c r="J13" s="969"/>
      <c r="K13" s="969"/>
      <c r="L13" s="969"/>
      <c r="M13" s="160"/>
      <c r="N13" s="161"/>
      <c r="O13" s="969"/>
      <c r="P13" s="969"/>
      <c r="Q13" s="969"/>
      <c r="R13" s="969"/>
      <c r="S13" s="969"/>
      <c r="T13" s="969"/>
      <c r="U13" s="162"/>
      <c r="V13" s="163" t="e">
        <f>SUM(V14:V309)</f>
        <v>#REF!</v>
      </c>
    </row>
    <row r="14" spans="1:46" hidden="1">
      <c r="B14" s="2044" t="str">
        <f>LEFT(A23,3)</f>
        <v>1.1</v>
      </c>
      <c r="C14" s="2045" t="str">
        <f>VLOOKUP(LEFT(A23,3),'11 - FINANCEIRA'!_xlnm.Print_Area,2,FALSE)</f>
        <v>Implantação do Canteiro de Obras</v>
      </c>
      <c r="D14" s="2045"/>
      <c r="E14" s="2046"/>
      <c r="F14" s="2045"/>
      <c r="G14" s="2047"/>
      <c r="H14" s="2048"/>
      <c r="I14" s="2048"/>
      <c r="J14" s="2048"/>
      <c r="K14" s="2048"/>
      <c r="L14" s="2048"/>
      <c r="M14" s="2049"/>
      <c r="N14" s="2050"/>
      <c r="O14" s="2048"/>
      <c r="P14" s="2048"/>
      <c r="Q14" s="2048"/>
      <c r="R14" s="2048"/>
      <c r="S14" s="2048"/>
      <c r="T14" s="2048"/>
      <c r="U14" s="2051"/>
      <c r="V14" s="163">
        <f>SUM(V15:V85)</f>
        <v>0</v>
      </c>
    </row>
    <row r="15" spans="1:46" s="176" customFormat="1" ht="27.75" hidden="1" customHeight="1">
      <c r="A15" s="1106"/>
      <c r="B15" s="2463">
        <f>VLOOKUP(A23,'11 - FINANCEIRA'!A:AC,2,FALSE)</f>
        <v>20712</v>
      </c>
      <c r="C15" s="2465" t="str">
        <f>VLOOKUP(A23,'11 - FINANCEIRA'!_xlnm.Print_Area,3,FALSE)</f>
        <v>Rede De Água Com Padrão De Entrada D'Água Diâm. 3/4", Conf. Espec. Cesan, Incl. Tubos E Conexões Para Alimentação, Distribuição, Extravasor E Limpeza, Cons. O Padrão A 25M, Conf. Projeto (1 Utilização)</v>
      </c>
      <c r="D15" s="2472" t="s">
        <v>242</v>
      </c>
      <c r="E15" s="2473"/>
      <c r="F15" s="2473"/>
      <c r="G15" s="2473"/>
      <c r="H15" s="2473"/>
      <c r="I15" s="2474"/>
      <c r="J15" s="2467" t="s">
        <v>243</v>
      </c>
      <c r="K15" s="2467" t="s">
        <v>244</v>
      </c>
      <c r="L15" s="2467" t="s">
        <v>245</v>
      </c>
      <c r="M15" s="2467" t="s">
        <v>246</v>
      </c>
      <c r="N15" s="2467" t="s">
        <v>247</v>
      </c>
      <c r="O15" s="2467" t="s">
        <v>248</v>
      </c>
      <c r="P15" s="173" t="s">
        <v>249</v>
      </c>
      <c r="Q15" s="2467" t="s">
        <v>250</v>
      </c>
      <c r="R15" s="2579" t="s">
        <v>139</v>
      </c>
      <c r="S15" s="2467" t="s">
        <v>251</v>
      </c>
      <c r="T15" s="2467" t="s">
        <v>252</v>
      </c>
      <c r="U15" s="2584" t="s">
        <v>253</v>
      </c>
      <c r="V15" s="174">
        <f t="shared" ref="V15:V21" si="0">V16</f>
        <v>0</v>
      </c>
      <c r="W15" s="175"/>
      <c r="X15" s="175"/>
      <c r="Y15" s="175"/>
      <c r="Z15" s="175"/>
      <c r="AA15" s="175"/>
    </row>
    <row r="16" spans="1:46" s="176" customFormat="1" hidden="1">
      <c r="A16" s="1106"/>
      <c r="B16" s="2464"/>
      <c r="C16" s="2466" t="e">
        <f>VLOOKUP(LEFT(#REF!,5),'11 - FINANCEIRA'!_xlnm.Print_Area,2,FALSE)</f>
        <v>#REF!</v>
      </c>
      <c r="D16" s="2475" t="s">
        <v>254</v>
      </c>
      <c r="E16" s="2476"/>
      <c r="F16" s="2477"/>
      <c r="G16" s="2469" t="s">
        <v>255</v>
      </c>
      <c r="H16" s="2470"/>
      <c r="I16" s="2471"/>
      <c r="J16" s="2468"/>
      <c r="K16" s="2468"/>
      <c r="L16" s="2468"/>
      <c r="M16" s="2468"/>
      <c r="N16" s="2468"/>
      <c r="O16" s="2468"/>
      <c r="P16" s="177" t="s">
        <v>256</v>
      </c>
      <c r="Q16" s="2468"/>
      <c r="R16" s="2580"/>
      <c r="S16" s="2468"/>
      <c r="T16" s="2468"/>
      <c r="U16" s="2585"/>
      <c r="V16" s="174">
        <f t="shared" si="0"/>
        <v>0</v>
      </c>
      <c r="W16" s="175"/>
      <c r="X16" s="175"/>
      <c r="Y16" s="175"/>
      <c r="Z16" s="175"/>
      <c r="AA16" s="175"/>
    </row>
    <row r="17" spans="1:27" s="176" customFormat="1" hidden="1">
      <c r="A17" s="1106"/>
      <c r="B17" s="178"/>
      <c r="C17" s="179" t="s">
        <v>142</v>
      </c>
      <c r="D17" s="180"/>
      <c r="E17" s="181"/>
      <c r="F17" s="182"/>
      <c r="G17" s="183"/>
      <c r="H17" s="184"/>
      <c r="I17" s="185"/>
      <c r="J17" s="186"/>
      <c r="K17" s="187"/>
      <c r="L17" s="186"/>
      <c r="M17" s="188"/>
      <c r="N17" s="189"/>
      <c r="O17" s="187"/>
      <c r="P17" s="190"/>
      <c r="Q17" s="188"/>
      <c r="R17" s="191">
        <v>25</v>
      </c>
      <c r="S17" s="192" t="s">
        <v>144</v>
      </c>
      <c r="T17" s="193">
        <v>1</v>
      </c>
      <c r="U17" s="194"/>
      <c r="V17" s="174">
        <f t="shared" si="0"/>
        <v>0</v>
      </c>
      <c r="W17" s="175"/>
      <c r="X17" s="175"/>
      <c r="Y17" s="175"/>
      <c r="Z17" s="175"/>
      <c r="AA17" s="175"/>
    </row>
    <row r="18" spans="1:27" s="176" customFormat="1" hidden="1">
      <c r="A18" s="1110"/>
      <c r="B18" s="296"/>
      <c r="C18" s="339" t="s">
        <v>844</v>
      </c>
      <c r="D18" s="560"/>
      <c r="E18" s="464"/>
      <c r="F18" s="463"/>
      <c r="G18" s="459"/>
      <c r="H18" s="459"/>
      <c r="I18" s="459"/>
      <c r="J18" s="340"/>
      <c r="K18" s="340"/>
      <c r="L18" s="340"/>
      <c r="M18" s="340"/>
      <c r="N18" s="340"/>
      <c r="O18" s="340"/>
      <c r="P18" s="461"/>
      <c r="Q18" s="340"/>
      <c r="R18" s="304">
        <v>25</v>
      </c>
      <c r="S18" s="340" t="s">
        <v>144</v>
      </c>
      <c r="T18" s="347">
        <v>22</v>
      </c>
      <c r="U18" s="341"/>
      <c r="V18" s="306">
        <f t="shared" si="0"/>
        <v>0</v>
      </c>
      <c r="W18" s="175"/>
      <c r="X18" s="175"/>
      <c r="Y18" s="175"/>
      <c r="Z18" s="175"/>
      <c r="AA18" s="175"/>
    </row>
    <row r="19" spans="1:27" s="222" customFormat="1" hidden="1">
      <c r="A19" s="1105"/>
      <c r="B19" s="206"/>
      <c r="C19" s="207"/>
      <c r="D19" s="208"/>
      <c r="E19" s="209"/>
      <c r="F19" s="210"/>
      <c r="G19" s="208"/>
      <c r="H19" s="209"/>
      <c r="I19" s="210"/>
      <c r="J19" s="211"/>
      <c r="K19" s="212"/>
      <c r="L19" s="213"/>
      <c r="M19" s="214"/>
      <c r="N19" s="215"/>
      <c r="O19" s="216"/>
      <c r="P19" s="213"/>
      <c r="Q19" s="217"/>
      <c r="R19" s="218"/>
      <c r="S19" s="219"/>
      <c r="T19" s="220"/>
      <c r="U19" s="221"/>
      <c r="V19" s="174">
        <f t="shared" si="0"/>
        <v>0</v>
      </c>
    </row>
    <row r="20" spans="1:27" s="222" customFormat="1" hidden="1">
      <c r="A20" s="1106"/>
      <c r="B20" s="223"/>
      <c r="C20" s="224"/>
      <c r="D20" s="225"/>
      <c r="E20" s="226"/>
      <c r="F20" s="227"/>
      <c r="G20" s="225"/>
      <c r="H20" s="226"/>
      <c r="I20" s="227"/>
      <c r="J20" s="228"/>
      <c r="K20" s="229"/>
      <c r="L20" s="230"/>
      <c r="M20" s="231"/>
      <c r="N20" s="232"/>
      <c r="O20" s="233"/>
      <c r="P20" s="230"/>
      <c r="Q20" s="234"/>
      <c r="R20" s="235"/>
      <c r="S20" s="236"/>
      <c r="T20" s="237"/>
      <c r="U20" s="238"/>
      <c r="V20" s="174">
        <f t="shared" si="0"/>
        <v>0</v>
      </c>
    </row>
    <row r="21" spans="1:27" s="40" customFormat="1" hidden="1">
      <c r="A21" s="1106"/>
      <c r="B21" s="239"/>
      <c r="C21" s="240"/>
      <c r="D21" s="2539" t="s">
        <v>257</v>
      </c>
      <c r="E21" s="2540"/>
      <c r="F21" s="2540"/>
      <c r="G21" s="2540"/>
      <c r="H21" s="2540"/>
      <c r="I21" s="2541"/>
      <c r="J21" s="2488">
        <f>VLOOKUP(A23,'11 - FINANCEIRA'!_xlnm.Print_Area,28,FALSE)</f>
        <v>50</v>
      </c>
      <c r="K21" s="2489"/>
      <c r="L21" s="241" t="str">
        <f>VLOOKUP(A23,'11 - FINANCEIRA'!_xlnm.Print_Area,4,FALSE)</f>
        <v>m</v>
      </c>
      <c r="M21" s="2646" t="s">
        <v>258</v>
      </c>
      <c r="N21" s="2647"/>
      <c r="O21" s="2647"/>
      <c r="P21" s="2647"/>
      <c r="Q21" s="2648"/>
      <c r="R21" s="242">
        <f>SUM(R17:R20)</f>
        <v>50</v>
      </c>
      <c r="S21" s="243" t="str">
        <f>L21</f>
        <v>m</v>
      </c>
      <c r="T21" s="244"/>
      <c r="U21" s="245"/>
      <c r="V21" s="174">
        <f t="shared" si="0"/>
        <v>0</v>
      </c>
    </row>
    <row r="22" spans="1:27" s="40" customFormat="1" hidden="1">
      <c r="A22" s="1106" t="s">
        <v>9</v>
      </c>
      <c r="B22" s="246"/>
      <c r="C22" s="247"/>
      <c r="D22" s="2521" t="s">
        <v>259</v>
      </c>
      <c r="E22" s="2522"/>
      <c r="F22" s="2522"/>
      <c r="G22" s="2522"/>
      <c r="H22" s="2522"/>
      <c r="I22" s="2523"/>
      <c r="J22" s="2515">
        <f>R21/J21</f>
        <v>1</v>
      </c>
      <c r="K22" s="2516"/>
      <c r="L22" s="2554"/>
      <c r="M22" s="2556" t="s">
        <v>260</v>
      </c>
      <c r="N22" s="2557"/>
      <c r="O22" s="2557"/>
      <c r="P22" s="2557"/>
      <c r="Q22" s="2558"/>
      <c r="R22" s="248">
        <f>VLOOKUP(A23,'11 - FINANCEIRA'!_xlnm.Print_Area,8,FALSE)</f>
        <v>50</v>
      </c>
      <c r="S22" s="249" t="str">
        <f>L21</f>
        <v>m</v>
      </c>
      <c r="T22" s="244"/>
      <c r="U22" s="245"/>
      <c r="V22" s="174">
        <f>V23</f>
        <v>0</v>
      </c>
    </row>
    <row r="23" spans="1:27" s="40" customFormat="1" hidden="1">
      <c r="A23" s="1106" t="s">
        <v>11</v>
      </c>
      <c r="B23" s="250"/>
      <c r="C23" s="240"/>
      <c r="D23" s="2524"/>
      <c r="E23" s="2525"/>
      <c r="F23" s="2525"/>
      <c r="G23" s="2525"/>
      <c r="H23" s="2525"/>
      <c r="I23" s="2526"/>
      <c r="J23" s="2519"/>
      <c r="K23" s="2520"/>
      <c r="L23" s="2570"/>
      <c r="M23" s="2574" t="s">
        <v>261</v>
      </c>
      <c r="N23" s="2575"/>
      <c r="O23" s="2575"/>
      <c r="P23" s="2575"/>
      <c r="Q23" s="2576"/>
      <c r="R23" s="251">
        <f>R21-R22</f>
        <v>0</v>
      </c>
      <c r="S23" s="252" t="str">
        <f>L21</f>
        <v>m</v>
      </c>
      <c r="T23" s="244"/>
      <c r="U23" s="245"/>
      <c r="V23" s="174">
        <f>R23</f>
        <v>0</v>
      </c>
    </row>
    <row r="24" spans="1:27" s="40" customFormat="1" hidden="1">
      <c r="A24" s="1106"/>
      <c r="B24" s="253"/>
      <c r="C24" s="254"/>
      <c r="D24" s="255"/>
      <c r="E24" s="256"/>
      <c r="F24" s="255"/>
      <c r="G24" s="255"/>
      <c r="H24" s="255"/>
      <c r="I24" s="255"/>
      <c r="J24" s="257"/>
      <c r="K24" s="258"/>
      <c r="L24" s="259"/>
      <c r="M24" s="260"/>
      <c r="N24" s="260"/>
      <c r="O24" s="260"/>
      <c r="P24" s="260"/>
      <c r="Q24" s="260"/>
      <c r="R24" s="261"/>
      <c r="S24" s="262"/>
      <c r="T24" s="263"/>
      <c r="U24" s="264"/>
      <c r="V24" s="265">
        <f>SUM(V15:V23)</f>
        <v>0</v>
      </c>
    </row>
    <row r="25" spans="1:27" s="176" customFormat="1" ht="48.75" hidden="1" customHeight="1">
      <c r="A25" s="1106"/>
      <c r="B25" s="2463">
        <f>VLOOKUP(A33,'11 - FINANCEIRA'!_xlnm.Print_Area,2,FALSE)</f>
        <v>20714</v>
      </c>
      <c r="C25" s="2465" t="str">
        <f>VLOOKUP(A33,'11 - FINANCEIRA'!_xlnm.Print_Area,3,FALSE)</f>
        <v>Rede De Esgoto, Contendo Fossa E Filtro, Inclusive Tubos E Conexões De Ligação Entre Caixas, Considerando Distância De 25M, Conforme Projeto (1 Utilização)</v>
      </c>
      <c r="D25" s="2472" t="s">
        <v>242</v>
      </c>
      <c r="E25" s="2473"/>
      <c r="F25" s="2473"/>
      <c r="G25" s="2473"/>
      <c r="H25" s="2473"/>
      <c r="I25" s="2474"/>
      <c r="J25" s="2467" t="s">
        <v>243</v>
      </c>
      <c r="K25" s="2467" t="s">
        <v>244</v>
      </c>
      <c r="L25" s="2467" t="s">
        <v>245</v>
      </c>
      <c r="M25" s="2467" t="s">
        <v>246</v>
      </c>
      <c r="N25" s="2467" t="s">
        <v>247</v>
      </c>
      <c r="O25" s="2467" t="s">
        <v>248</v>
      </c>
      <c r="P25" s="173" t="s">
        <v>249</v>
      </c>
      <c r="Q25" s="2467" t="s">
        <v>250</v>
      </c>
      <c r="R25" s="2579" t="s">
        <v>139</v>
      </c>
      <c r="S25" s="2467" t="s">
        <v>251</v>
      </c>
      <c r="T25" s="2467" t="s">
        <v>252</v>
      </c>
      <c r="U25" s="2584" t="s">
        <v>253</v>
      </c>
      <c r="V25" s="174">
        <f t="shared" ref="V25:V32" si="1">V26</f>
        <v>0</v>
      </c>
      <c r="W25" s="175"/>
      <c r="X25" s="175"/>
      <c r="Y25" s="175"/>
      <c r="Z25" s="175"/>
      <c r="AA25" s="175"/>
    </row>
    <row r="26" spans="1:27" s="176" customFormat="1" hidden="1">
      <c r="A26" s="1106"/>
      <c r="B26" s="2464" t="e">
        <f>LEFT(#REF!,5)</f>
        <v>#REF!</v>
      </c>
      <c r="C26" s="2466" t="e">
        <f>VLOOKUP(LEFT(#REF!,5),'11 - FINANCEIRA'!_xlnm.Print_Area,2,FALSE)</f>
        <v>#REF!</v>
      </c>
      <c r="D26" s="2475" t="s">
        <v>254</v>
      </c>
      <c r="E26" s="2476"/>
      <c r="F26" s="2477"/>
      <c r="G26" s="2469" t="s">
        <v>255</v>
      </c>
      <c r="H26" s="2470"/>
      <c r="I26" s="2471"/>
      <c r="J26" s="2468"/>
      <c r="K26" s="2468"/>
      <c r="L26" s="2468"/>
      <c r="M26" s="2468"/>
      <c r="N26" s="2468"/>
      <c r="O26" s="2468"/>
      <c r="P26" s="177" t="s">
        <v>256</v>
      </c>
      <c r="Q26" s="2468"/>
      <c r="R26" s="2580"/>
      <c r="S26" s="2468"/>
      <c r="T26" s="2468"/>
      <c r="U26" s="2585"/>
      <c r="V26" s="174">
        <f t="shared" si="1"/>
        <v>0</v>
      </c>
      <c r="W26" s="175"/>
      <c r="X26" s="175"/>
      <c r="Y26" s="175"/>
      <c r="Z26" s="175"/>
      <c r="AA26" s="175"/>
    </row>
    <row r="27" spans="1:27" s="176" customFormat="1" hidden="1">
      <c r="A27" s="1106"/>
      <c r="B27" s="178"/>
      <c r="C27" s="266" t="s">
        <v>142</v>
      </c>
      <c r="D27" s="267"/>
      <c r="E27" s="268"/>
      <c r="F27" s="269"/>
      <c r="G27" s="270"/>
      <c r="H27" s="271"/>
      <c r="I27" s="272"/>
      <c r="J27" s="273"/>
      <c r="K27" s="273"/>
      <c r="L27" s="273"/>
      <c r="M27" s="273"/>
      <c r="N27" s="273"/>
      <c r="O27" s="273"/>
      <c r="P27" s="274"/>
      <c r="Q27" s="273"/>
      <c r="R27" s="191">
        <v>25</v>
      </c>
      <c r="S27" s="275" t="s">
        <v>148</v>
      </c>
      <c r="T27" s="276">
        <v>1</v>
      </c>
      <c r="U27" s="194"/>
      <c r="V27" s="174">
        <f t="shared" si="1"/>
        <v>0</v>
      </c>
      <c r="W27" s="175"/>
      <c r="X27" s="175"/>
      <c r="Y27" s="175"/>
      <c r="Z27" s="175"/>
      <c r="AA27" s="175"/>
    </row>
    <row r="28" spans="1:27" s="176" customFormat="1" hidden="1">
      <c r="A28" s="1104"/>
      <c r="B28" s="767"/>
      <c r="C28" s="510"/>
      <c r="D28" s="561"/>
      <c r="E28" s="864"/>
      <c r="F28" s="865"/>
      <c r="G28" s="807"/>
      <c r="H28" s="807"/>
      <c r="I28" s="807"/>
      <c r="J28" s="438"/>
      <c r="K28" s="438"/>
      <c r="L28" s="438"/>
      <c r="M28" s="438"/>
      <c r="N28" s="438"/>
      <c r="O28" s="438"/>
      <c r="P28" s="453"/>
      <c r="Q28" s="438"/>
      <c r="R28" s="998"/>
      <c r="S28" s="438"/>
      <c r="T28" s="441"/>
      <c r="U28" s="620"/>
      <c r="V28" s="174"/>
      <c r="W28" s="175"/>
      <c r="X28" s="175"/>
      <c r="Y28" s="175"/>
      <c r="Z28" s="175"/>
      <c r="AA28" s="175"/>
    </row>
    <row r="29" spans="1:27" s="222" customFormat="1" hidden="1">
      <c r="A29" s="1105"/>
      <c r="B29" s="206"/>
      <c r="C29" s="287"/>
      <c r="D29" s="288"/>
      <c r="E29" s="289"/>
      <c r="F29" s="290"/>
      <c r="G29" s="288"/>
      <c r="H29" s="289"/>
      <c r="I29" s="290"/>
      <c r="J29" s="201"/>
      <c r="K29" s="291"/>
      <c r="L29" s="291"/>
      <c r="M29" s="291"/>
      <c r="N29" s="291"/>
      <c r="O29" s="292"/>
      <c r="P29" s="291"/>
      <c r="Q29" s="292"/>
      <c r="R29" s="218"/>
      <c r="S29" s="293"/>
      <c r="T29" s="204"/>
      <c r="U29" s="221"/>
      <c r="V29" s="174">
        <f t="shared" si="1"/>
        <v>0</v>
      </c>
    </row>
    <row r="30" spans="1:27" s="222" customFormat="1" hidden="1">
      <c r="A30" s="1106"/>
      <c r="B30" s="223"/>
      <c r="C30" s="224"/>
      <c r="D30" s="225"/>
      <c r="E30" s="226"/>
      <c r="F30" s="227"/>
      <c r="G30" s="225"/>
      <c r="H30" s="226"/>
      <c r="I30" s="227"/>
      <c r="J30" s="228"/>
      <c r="K30" s="229"/>
      <c r="L30" s="230"/>
      <c r="M30" s="231"/>
      <c r="N30" s="232"/>
      <c r="O30" s="233"/>
      <c r="P30" s="230"/>
      <c r="Q30" s="234"/>
      <c r="R30" s="235"/>
      <c r="S30" s="236"/>
      <c r="T30" s="294"/>
      <c r="U30" s="238"/>
      <c r="V30" s="174">
        <f t="shared" si="1"/>
        <v>0</v>
      </c>
    </row>
    <row r="31" spans="1:27" s="40" customFormat="1" hidden="1">
      <c r="A31" s="1106"/>
      <c r="B31" s="246"/>
      <c r="C31" s="240"/>
      <c r="D31" s="2539" t="s">
        <v>421</v>
      </c>
      <c r="E31" s="2540"/>
      <c r="F31" s="2540"/>
      <c r="G31" s="2540"/>
      <c r="H31" s="2540"/>
      <c r="I31" s="2541"/>
      <c r="J31" s="2488">
        <f>VLOOKUP(A33,'11 - FINANCEIRA'!_xlnm.Print_Area,28,FALSE)</f>
        <v>25</v>
      </c>
      <c r="K31" s="2489"/>
      <c r="L31" s="241" t="str">
        <f>VLOOKUP(A33,'11 - FINANCEIRA'!_xlnm.Print_Area,4,FALSE)</f>
        <v>m</v>
      </c>
      <c r="M31" s="2646" t="s">
        <v>258</v>
      </c>
      <c r="N31" s="2647"/>
      <c r="O31" s="2647"/>
      <c r="P31" s="2647"/>
      <c r="Q31" s="2648"/>
      <c r="R31" s="242">
        <f>SUM(R27:R30)</f>
        <v>25</v>
      </c>
      <c r="S31" s="243" t="str">
        <f>L31</f>
        <v>m</v>
      </c>
      <c r="T31" s="244"/>
      <c r="U31" s="245"/>
      <c r="V31" s="174">
        <f t="shared" si="1"/>
        <v>0</v>
      </c>
    </row>
    <row r="32" spans="1:27" s="40" customFormat="1" hidden="1">
      <c r="A32" s="1106"/>
      <c r="B32" s="246"/>
      <c r="C32" s="247"/>
      <c r="D32" s="2521" t="s">
        <v>259</v>
      </c>
      <c r="E32" s="2522"/>
      <c r="F32" s="2522"/>
      <c r="G32" s="2522"/>
      <c r="H32" s="2522"/>
      <c r="I32" s="2523"/>
      <c r="J32" s="2515">
        <f>R31/J31</f>
        <v>1</v>
      </c>
      <c r="K32" s="2516"/>
      <c r="L32" s="2554"/>
      <c r="M32" s="2556" t="s">
        <v>260</v>
      </c>
      <c r="N32" s="2557"/>
      <c r="O32" s="2557"/>
      <c r="P32" s="2557"/>
      <c r="Q32" s="2558"/>
      <c r="R32" s="248">
        <f>VLOOKUP(A33,'11 - FINANCEIRA'!_xlnm.Print_Area,8,FALSE)</f>
        <v>25</v>
      </c>
      <c r="S32" s="249" t="str">
        <f>L31</f>
        <v>m</v>
      </c>
      <c r="T32" s="244"/>
      <c r="U32" s="245"/>
      <c r="V32" s="174">
        <f t="shared" si="1"/>
        <v>0</v>
      </c>
    </row>
    <row r="33" spans="1:27" s="40" customFormat="1" hidden="1">
      <c r="A33" s="1106" t="s">
        <v>12</v>
      </c>
      <c r="B33" s="246"/>
      <c r="C33" s="240"/>
      <c r="D33" s="2524"/>
      <c r="E33" s="2525"/>
      <c r="F33" s="2525"/>
      <c r="G33" s="2525"/>
      <c r="H33" s="2525"/>
      <c r="I33" s="2526"/>
      <c r="J33" s="2519"/>
      <c r="K33" s="2520"/>
      <c r="L33" s="2570"/>
      <c r="M33" s="2574" t="s">
        <v>261</v>
      </c>
      <c r="N33" s="2575"/>
      <c r="O33" s="2575"/>
      <c r="P33" s="2575"/>
      <c r="Q33" s="2576"/>
      <c r="R33" s="251">
        <f>R31-R32</f>
        <v>0</v>
      </c>
      <c r="S33" s="252" t="str">
        <f>L31</f>
        <v>m</v>
      </c>
      <c r="T33" s="244"/>
      <c r="U33" s="245"/>
      <c r="V33" s="174">
        <f>R33</f>
        <v>0</v>
      </c>
    </row>
    <row r="34" spans="1:27" s="40" customFormat="1" hidden="1">
      <c r="A34" s="1106"/>
      <c r="B34" s="295"/>
      <c r="C34" s="254"/>
      <c r="D34" s="255"/>
      <c r="E34" s="256"/>
      <c r="F34" s="255"/>
      <c r="G34" s="255"/>
      <c r="H34" s="255"/>
      <c r="I34" s="255"/>
      <c r="J34" s="257"/>
      <c r="K34" s="258"/>
      <c r="L34" s="259"/>
      <c r="M34" s="260"/>
      <c r="N34" s="260"/>
      <c r="O34" s="260"/>
      <c r="P34" s="260"/>
      <c r="Q34" s="260"/>
      <c r="R34" s="261"/>
      <c r="S34" s="262"/>
      <c r="T34" s="263"/>
      <c r="U34" s="264"/>
      <c r="V34" s="265">
        <f>SUM(V25:V33)</f>
        <v>0</v>
      </c>
    </row>
    <row r="35" spans="1:27" s="176" customFormat="1" ht="60" hidden="1" customHeight="1">
      <c r="A35" s="1106"/>
      <c r="B35" s="2463">
        <f>VLOOKUP(A44,'11 - FINANCEIRA'!_xlnm.Print_Area,2,FALSE)</f>
        <v>20713</v>
      </c>
      <c r="C35" s="2465" t="str">
        <f>VLOOKUP(A44,'11 - FINANCEIRA'!_xlnm.Print_Area,3,FALSE)</f>
        <v>Rede De Luz, Incl. Padrão Entrada De Energia Trifás., Cabo De Ligação Até Barracões, Quadro De Distrib., Disj. E Chave De Força (Quando Necessário), Cons. 20M Entre Padrão Entrada E Qdg, Conf. Projeto (1 Utilização)</v>
      </c>
      <c r="D35" s="2472" t="s">
        <v>242</v>
      </c>
      <c r="E35" s="2473"/>
      <c r="F35" s="2473"/>
      <c r="G35" s="2473"/>
      <c r="H35" s="2473"/>
      <c r="I35" s="2474"/>
      <c r="J35" s="2467" t="s">
        <v>243</v>
      </c>
      <c r="K35" s="2467" t="s">
        <v>244</v>
      </c>
      <c r="L35" s="2467" t="s">
        <v>245</v>
      </c>
      <c r="M35" s="2467" t="s">
        <v>246</v>
      </c>
      <c r="N35" s="2467" t="s">
        <v>247</v>
      </c>
      <c r="O35" s="2467" t="s">
        <v>248</v>
      </c>
      <c r="P35" s="173" t="s">
        <v>249</v>
      </c>
      <c r="Q35" s="2467" t="s">
        <v>250</v>
      </c>
      <c r="R35" s="2579" t="s">
        <v>139</v>
      </c>
      <c r="S35" s="2467" t="s">
        <v>251</v>
      </c>
      <c r="T35" s="2467" t="s">
        <v>252</v>
      </c>
      <c r="U35" s="2584" t="s">
        <v>253</v>
      </c>
      <c r="V35" s="174">
        <f t="shared" ref="V35:V43" si="2">V36</f>
        <v>0</v>
      </c>
      <c r="W35" s="175"/>
      <c r="X35" s="175"/>
      <c r="Y35" s="175"/>
      <c r="Z35" s="175"/>
      <c r="AA35" s="175"/>
    </row>
    <row r="36" spans="1:27" s="176" customFormat="1" hidden="1">
      <c r="A36" s="1106"/>
      <c r="B36" s="2464" t="e">
        <f>LEFT(#REF!,5)</f>
        <v>#REF!</v>
      </c>
      <c r="C36" s="2466" t="e">
        <f>VLOOKUP(LEFT(#REF!,5),'11 - FINANCEIRA'!_xlnm.Print_Area,2,FALSE)</f>
        <v>#REF!</v>
      </c>
      <c r="D36" s="2475" t="s">
        <v>254</v>
      </c>
      <c r="E36" s="2476"/>
      <c r="F36" s="2477"/>
      <c r="G36" s="2469" t="s">
        <v>255</v>
      </c>
      <c r="H36" s="2470"/>
      <c r="I36" s="2471"/>
      <c r="J36" s="2468"/>
      <c r="K36" s="2468"/>
      <c r="L36" s="2468"/>
      <c r="M36" s="2468"/>
      <c r="N36" s="2468"/>
      <c r="O36" s="2468"/>
      <c r="P36" s="177" t="s">
        <v>256</v>
      </c>
      <c r="Q36" s="2468"/>
      <c r="R36" s="2580"/>
      <c r="S36" s="2468"/>
      <c r="T36" s="2468"/>
      <c r="U36" s="2585"/>
      <c r="V36" s="174">
        <f t="shared" si="2"/>
        <v>0</v>
      </c>
      <c r="W36" s="175"/>
      <c r="X36" s="175"/>
      <c r="Y36" s="175"/>
      <c r="Z36" s="175"/>
      <c r="AA36" s="175"/>
    </row>
    <row r="37" spans="1:27" s="176" customFormat="1" hidden="1">
      <c r="A37" s="1106"/>
      <c r="B37" s="178"/>
      <c r="C37" s="266" t="s">
        <v>142</v>
      </c>
      <c r="D37" s="267"/>
      <c r="E37" s="268"/>
      <c r="F37" s="269"/>
      <c r="G37" s="270"/>
      <c r="H37" s="271"/>
      <c r="I37" s="272"/>
      <c r="J37" s="273"/>
      <c r="K37" s="273"/>
      <c r="L37" s="273"/>
      <c r="M37" s="273"/>
      <c r="N37" s="273"/>
      <c r="O37" s="273"/>
      <c r="P37" s="274"/>
      <c r="Q37" s="273"/>
      <c r="R37" s="450">
        <v>20</v>
      </c>
      <c r="S37" s="411" t="s">
        <v>144</v>
      </c>
      <c r="T37" s="451">
        <v>1</v>
      </c>
      <c r="U37" s="194"/>
      <c r="V37" s="174">
        <f t="shared" si="2"/>
        <v>0</v>
      </c>
      <c r="W37" s="175"/>
      <c r="X37" s="175"/>
      <c r="Y37" s="175"/>
      <c r="Z37" s="175"/>
      <c r="AA37" s="175"/>
    </row>
    <row r="38" spans="1:27" s="175" customFormat="1" ht="42.75" hidden="1">
      <c r="A38" s="1110"/>
      <c r="B38" s="342"/>
      <c r="C38" s="809" t="s">
        <v>558</v>
      </c>
      <c r="D38" s="564">
        <v>6</v>
      </c>
      <c r="E38" s="497" t="s">
        <v>299</v>
      </c>
      <c r="F38" s="498">
        <v>18</v>
      </c>
      <c r="G38" s="564">
        <v>8</v>
      </c>
      <c r="H38" s="497" t="s">
        <v>299</v>
      </c>
      <c r="I38" s="498">
        <v>10</v>
      </c>
      <c r="J38" s="340"/>
      <c r="K38" s="344"/>
      <c r="L38" s="344"/>
      <c r="M38" s="344"/>
      <c r="N38" s="273"/>
      <c r="O38" s="345"/>
      <c r="P38" s="344"/>
      <c r="Q38" s="345"/>
      <c r="R38" s="346">
        <v>12</v>
      </c>
      <c r="S38" s="406" t="s">
        <v>144</v>
      </c>
      <c r="T38" s="347">
        <v>12</v>
      </c>
      <c r="U38" s="1064" t="s">
        <v>525</v>
      </c>
    </row>
    <row r="39" spans="1:27" s="175" customFormat="1" ht="42.75" hidden="1">
      <c r="A39" s="1110"/>
      <c r="B39" s="342"/>
      <c r="C39" s="809" t="s">
        <v>558</v>
      </c>
      <c r="D39" s="564">
        <v>8</v>
      </c>
      <c r="E39" s="497" t="s">
        <v>299</v>
      </c>
      <c r="F39" s="498">
        <v>10</v>
      </c>
      <c r="G39" s="564">
        <v>11</v>
      </c>
      <c r="H39" s="497" t="s">
        <v>299</v>
      </c>
      <c r="I39" s="498">
        <v>10</v>
      </c>
      <c r="J39" s="340"/>
      <c r="K39" s="344"/>
      <c r="L39" s="344"/>
      <c r="M39" s="344"/>
      <c r="N39" s="344"/>
      <c r="O39" s="345"/>
      <c r="P39" s="344"/>
      <c r="Q39" s="345"/>
      <c r="R39" s="346">
        <v>60</v>
      </c>
      <c r="S39" s="406" t="s">
        <v>144</v>
      </c>
      <c r="T39" s="347">
        <v>12</v>
      </c>
      <c r="U39" s="1064" t="s">
        <v>525</v>
      </c>
    </row>
    <row r="40" spans="1:27" s="175" customFormat="1" ht="42.75" hidden="1">
      <c r="A40" s="1110"/>
      <c r="B40" s="342"/>
      <c r="C40" s="809" t="s">
        <v>558</v>
      </c>
      <c r="D40" s="564">
        <v>-1</v>
      </c>
      <c r="E40" s="497" t="s">
        <v>299</v>
      </c>
      <c r="F40" s="498">
        <v>0</v>
      </c>
      <c r="G40" s="564">
        <v>3</v>
      </c>
      <c r="H40" s="497" t="s">
        <v>299</v>
      </c>
      <c r="I40" s="498">
        <v>10</v>
      </c>
      <c r="J40" s="340"/>
      <c r="K40" s="344"/>
      <c r="L40" s="344"/>
      <c r="M40" s="344"/>
      <c r="N40" s="344"/>
      <c r="O40" s="345"/>
      <c r="P40" s="344"/>
      <c r="Q40" s="345"/>
      <c r="R40" s="346">
        <v>48</v>
      </c>
      <c r="S40" s="406" t="s">
        <v>144</v>
      </c>
      <c r="T40" s="347">
        <v>12</v>
      </c>
      <c r="U40" s="1064" t="s">
        <v>525</v>
      </c>
    </row>
    <row r="41" spans="1:27" s="175" customFormat="1" ht="42.75" hidden="1">
      <c r="A41" s="1110"/>
      <c r="B41" s="348"/>
      <c r="C41" s="1461" t="s">
        <v>558</v>
      </c>
      <c r="D41" s="1601"/>
      <c r="E41" s="502"/>
      <c r="F41" s="565"/>
      <c r="G41" s="1601"/>
      <c r="H41" s="502"/>
      <c r="I41" s="565"/>
      <c r="J41" s="357"/>
      <c r="K41" s="350"/>
      <c r="L41" s="350"/>
      <c r="M41" s="350"/>
      <c r="N41" s="350"/>
      <c r="O41" s="1602"/>
      <c r="P41" s="350"/>
      <c r="Q41" s="1602"/>
      <c r="R41" s="356">
        <v>60</v>
      </c>
      <c r="S41" s="353" t="s">
        <v>144</v>
      </c>
      <c r="T41" s="369">
        <v>22</v>
      </c>
      <c r="U41" s="1162" t="s">
        <v>845</v>
      </c>
    </row>
    <row r="42" spans="1:27" s="40" customFormat="1" ht="30.75" hidden="1" customHeight="1">
      <c r="A42" s="1106"/>
      <c r="B42" s="239"/>
      <c r="C42" s="1603"/>
      <c r="D42" s="2527" t="s">
        <v>420</v>
      </c>
      <c r="E42" s="2528"/>
      <c r="F42" s="2528"/>
      <c r="G42" s="2528"/>
      <c r="H42" s="2528"/>
      <c r="I42" s="2529"/>
      <c r="J42" s="2490">
        <f>VLOOKUP(A44,'11 - FINANCEIRA'!_xlnm.Print_Area,28,FALSE)</f>
        <v>200</v>
      </c>
      <c r="K42" s="2491"/>
      <c r="L42" s="309" t="str">
        <f>VLOOKUP(A44,'11 - FINANCEIRA'!_xlnm.Print_Area,4,FALSE)</f>
        <v>m</v>
      </c>
      <c r="M42" s="2556" t="s">
        <v>258</v>
      </c>
      <c r="N42" s="2557"/>
      <c r="O42" s="2557"/>
      <c r="P42" s="2557"/>
      <c r="Q42" s="2558"/>
      <c r="R42" s="248">
        <f>SUM(R37:R41)</f>
        <v>200</v>
      </c>
      <c r="S42" s="310" t="str">
        <f>L42</f>
        <v>m</v>
      </c>
      <c r="T42" s="244"/>
      <c r="U42" s="245"/>
      <c r="V42" s="174">
        <f t="shared" si="2"/>
        <v>0</v>
      </c>
    </row>
    <row r="43" spans="1:27" s="40" customFormat="1" hidden="1">
      <c r="A43" s="1106"/>
      <c r="B43" s="246"/>
      <c r="C43" s="247"/>
      <c r="D43" s="2521" t="s">
        <v>259</v>
      </c>
      <c r="E43" s="2522"/>
      <c r="F43" s="2522"/>
      <c r="G43" s="2522"/>
      <c r="H43" s="2522"/>
      <c r="I43" s="2523"/>
      <c r="J43" s="2515">
        <f>R42/J42</f>
        <v>1</v>
      </c>
      <c r="K43" s="2516"/>
      <c r="L43" s="2554"/>
      <c r="M43" s="2556" t="s">
        <v>260</v>
      </c>
      <c r="N43" s="2557"/>
      <c r="O43" s="2557"/>
      <c r="P43" s="2557"/>
      <c r="Q43" s="2558"/>
      <c r="R43" s="248">
        <f>VLOOKUP(A44,'11 - FINANCEIRA'!_xlnm.Print_Area,8,FALSE)</f>
        <v>200</v>
      </c>
      <c r="S43" s="249" t="str">
        <f>L42</f>
        <v>m</v>
      </c>
      <c r="T43" s="244"/>
      <c r="U43" s="245"/>
      <c r="V43" s="174">
        <f t="shared" si="2"/>
        <v>0</v>
      </c>
    </row>
    <row r="44" spans="1:27" s="40" customFormat="1" hidden="1">
      <c r="A44" s="1106" t="s">
        <v>13</v>
      </c>
      <c r="B44" s="246"/>
      <c r="C44" s="240"/>
      <c r="D44" s="2524"/>
      <c r="E44" s="2525"/>
      <c r="F44" s="2525"/>
      <c r="G44" s="2525"/>
      <c r="H44" s="2525"/>
      <c r="I44" s="2526"/>
      <c r="J44" s="2519"/>
      <c r="K44" s="2520"/>
      <c r="L44" s="2570"/>
      <c r="M44" s="2574" t="s">
        <v>261</v>
      </c>
      <c r="N44" s="2575"/>
      <c r="O44" s="2575"/>
      <c r="P44" s="2575"/>
      <c r="Q44" s="2576"/>
      <c r="R44" s="251">
        <f>R42-R43</f>
        <v>0</v>
      </c>
      <c r="S44" s="252" t="str">
        <f>L42</f>
        <v>m</v>
      </c>
      <c r="T44" s="244"/>
      <c r="U44" s="245"/>
      <c r="V44" s="174">
        <f>R44</f>
        <v>0</v>
      </c>
    </row>
    <row r="45" spans="1:27" s="40" customFormat="1" hidden="1">
      <c r="A45" s="1106"/>
      <c r="B45" s="295"/>
      <c r="C45" s="254"/>
      <c r="D45" s="255"/>
      <c r="E45" s="256"/>
      <c r="F45" s="255"/>
      <c r="G45" s="255"/>
      <c r="H45" s="255"/>
      <c r="I45" s="255"/>
      <c r="J45" s="257"/>
      <c r="K45" s="258"/>
      <c r="L45" s="259"/>
      <c r="M45" s="260"/>
      <c r="N45" s="260"/>
      <c r="O45" s="260"/>
      <c r="P45" s="260"/>
      <c r="Q45" s="260"/>
      <c r="R45" s="261"/>
      <c r="S45" s="262"/>
      <c r="T45" s="263"/>
      <c r="U45" s="264"/>
      <c r="V45" s="265">
        <f>SUM(V35:V44)</f>
        <v>0</v>
      </c>
    </row>
    <row r="46" spans="1:27" s="176" customFormat="1" ht="35.25" hidden="1" customHeight="1">
      <c r="A46" s="1106"/>
      <c r="B46" s="2463">
        <f>VLOOKUP(A54,'11 - FINANCEIRA'!_xlnm.Print_Area,2,FALSE)</f>
        <v>20711</v>
      </c>
      <c r="C46" s="2465" t="str">
        <f>VLOOKUP(A54,'11 - FINANCEIRA'!_xlnm.Print_Area,3,FALSE)</f>
        <v>Reservatório De Poliestileno De 1000 L, Incl. Suporte Em Madeira De 7X12Cm E 8X7Cm, Elevado De 4M, Conf. Projeto (1 Utilização)</v>
      </c>
      <c r="D46" s="2472" t="s">
        <v>242</v>
      </c>
      <c r="E46" s="2473"/>
      <c r="F46" s="2473"/>
      <c r="G46" s="2473"/>
      <c r="H46" s="2473"/>
      <c r="I46" s="2474"/>
      <c r="J46" s="2467" t="s">
        <v>243</v>
      </c>
      <c r="K46" s="2467" t="s">
        <v>244</v>
      </c>
      <c r="L46" s="2467" t="s">
        <v>245</v>
      </c>
      <c r="M46" s="2467" t="s">
        <v>246</v>
      </c>
      <c r="N46" s="2467" t="s">
        <v>247</v>
      </c>
      <c r="O46" s="2467" t="s">
        <v>248</v>
      </c>
      <c r="P46" s="173" t="s">
        <v>249</v>
      </c>
      <c r="Q46" s="2467" t="s">
        <v>139</v>
      </c>
      <c r="R46" s="2579" t="s">
        <v>139</v>
      </c>
      <c r="S46" s="2467" t="s">
        <v>251</v>
      </c>
      <c r="T46" s="2467" t="s">
        <v>252</v>
      </c>
      <c r="U46" s="2584" t="s">
        <v>253</v>
      </c>
      <c r="V46" s="174">
        <f t="shared" ref="V46:V53" si="3">V47</f>
        <v>0</v>
      </c>
      <c r="W46" s="175"/>
      <c r="X46" s="175"/>
      <c r="Y46" s="175"/>
      <c r="Z46" s="175"/>
      <c r="AA46" s="175"/>
    </row>
    <row r="47" spans="1:27" s="176" customFormat="1" hidden="1">
      <c r="A47" s="1106"/>
      <c r="B47" s="2464" t="e">
        <f>LEFT(#REF!,5)</f>
        <v>#REF!</v>
      </c>
      <c r="C47" s="2466" t="e">
        <f>VLOOKUP(LEFT(#REF!,5),'11 - FINANCEIRA'!_xlnm.Print_Area,2,FALSE)</f>
        <v>#REF!</v>
      </c>
      <c r="D47" s="2475" t="s">
        <v>254</v>
      </c>
      <c r="E47" s="2476"/>
      <c r="F47" s="2477"/>
      <c r="G47" s="2469" t="s">
        <v>255</v>
      </c>
      <c r="H47" s="2470"/>
      <c r="I47" s="2471"/>
      <c r="J47" s="2468"/>
      <c r="K47" s="2468"/>
      <c r="L47" s="2468"/>
      <c r="M47" s="2468"/>
      <c r="N47" s="2468"/>
      <c r="O47" s="2468"/>
      <c r="P47" s="177" t="s">
        <v>256</v>
      </c>
      <c r="Q47" s="2468"/>
      <c r="R47" s="2580"/>
      <c r="S47" s="2468"/>
      <c r="T47" s="2468"/>
      <c r="U47" s="2585"/>
      <c r="V47" s="174">
        <f t="shared" si="3"/>
        <v>0</v>
      </c>
      <c r="W47" s="175"/>
      <c r="X47" s="175"/>
      <c r="Y47" s="175"/>
      <c r="Z47" s="175"/>
      <c r="AA47" s="175"/>
    </row>
    <row r="48" spans="1:27" s="176" customFormat="1" hidden="1">
      <c r="A48" s="1106"/>
      <c r="B48" s="178"/>
      <c r="C48" s="266" t="s">
        <v>142</v>
      </c>
      <c r="D48" s="267"/>
      <c r="E48" s="268"/>
      <c r="F48" s="269"/>
      <c r="G48" s="270"/>
      <c r="H48" s="271"/>
      <c r="I48" s="272"/>
      <c r="J48" s="273"/>
      <c r="K48" s="273"/>
      <c r="L48" s="273"/>
      <c r="M48" s="273"/>
      <c r="N48" s="273"/>
      <c r="O48" s="273"/>
      <c r="P48" s="274"/>
      <c r="Q48" s="273"/>
      <c r="R48" s="191">
        <v>1</v>
      </c>
      <c r="S48" s="275" t="s">
        <v>148</v>
      </c>
      <c r="T48" s="276">
        <v>1</v>
      </c>
      <c r="U48" s="194"/>
      <c r="V48" s="174">
        <f t="shared" si="3"/>
        <v>0</v>
      </c>
      <c r="W48" s="175"/>
      <c r="X48" s="175"/>
      <c r="Y48" s="175"/>
      <c r="Z48" s="175"/>
      <c r="AA48" s="175"/>
    </row>
    <row r="49" spans="1:27" s="176" customFormat="1" hidden="1">
      <c r="A49" s="1104"/>
      <c r="B49" s="195"/>
      <c r="C49" s="277"/>
      <c r="D49" s="278"/>
      <c r="E49" s="279"/>
      <c r="F49" s="280"/>
      <c r="G49" s="281"/>
      <c r="H49" s="282"/>
      <c r="I49" s="283"/>
      <c r="J49" s="284"/>
      <c r="K49" s="278"/>
      <c r="L49" s="284"/>
      <c r="M49" s="280"/>
      <c r="N49" s="279"/>
      <c r="O49" s="278"/>
      <c r="P49" s="285"/>
      <c r="Q49" s="280"/>
      <c r="R49" s="203"/>
      <c r="S49" s="284"/>
      <c r="T49" s="286"/>
      <c r="U49" s="205"/>
      <c r="V49" s="174">
        <f t="shared" si="3"/>
        <v>0</v>
      </c>
      <c r="W49" s="175"/>
      <c r="X49" s="175"/>
      <c r="Y49" s="175"/>
      <c r="Z49" s="175"/>
      <c r="AA49" s="175"/>
    </row>
    <row r="50" spans="1:27" s="222" customFormat="1" hidden="1">
      <c r="A50" s="1105"/>
      <c r="B50" s="206"/>
      <c r="C50" s="287"/>
      <c r="D50" s="288"/>
      <c r="E50" s="289"/>
      <c r="F50" s="290"/>
      <c r="G50" s="288"/>
      <c r="H50" s="289"/>
      <c r="I50" s="290"/>
      <c r="J50" s="201"/>
      <c r="K50" s="291"/>
      <c r="L50" s="291"/>
      <c r="M50" s="291"/>
      <c r="N50" s="291"/>
      <c r="O50" s="292"/>
      <c r="P50" s="291"/>
      <c r="Q50" s="292"/>
      <c r="R50" s="218"/>
      <c r="S50" s="293"/>
      <c r="T50" s="204"/>
      <c r="U50" s="221"/>
      <c r="V50" s="174">
        <f t="shared" si="3"/>
        <v>0</v>
      </c>
    </row>
    <row r="51" spans="1:27" s="222" customFormat="1" hidden="1">
      <c r="A51" s="1106"/>
      <c r="B51" s="223"/>
      <c r="C51" s="224"/>
      <c r="D51" s="225"/>
      <c r="E51" s="226"/>
      <c r="F51" s="227"/>
      <c r="G51" s="225"/>
      <c r="H51" s="226"/>
      <c r="I51" s="227"/>
      <c r="J51" s="228"/>
      <c r="K51" s="229"/>
      <c r="L51" s="230"/>
      <c r="M51" s="231"/>
      <c r="N51" s="232"/>
      <c r="O51" s="233"/>
      <c r="P51" s="230"/>
      <c r="Q51" s="234"/>
      <c r="R51" s="235"/>
      <c r="S51" s="236"/>
      <c r="T51" s="294"/>
      <c r="U51" s="238"/>
      <c r="V51" s="174">
        <f t="shared" si="3"/>
        <v>0</v>
      </c>
    </row>
    <row r="52" spans="1:27" s="40" customFormat="1" hidden="1">
      <c r="A52" s="1106"/>
      <c r="B52" s="246"/>
      <c r="C52" s="240"/>
      <c r="D52" s="2539" t="s">
        <v>257</v>
      </c>
      <c r="E52" s="2540"/>
      <c r="F52" s="2540"/>
      <c r="G52" s="2540"/>
      <c r="H52" s="2540"/>
      <c r="I52" s="2541"/>
      <c r="J52" s="2488">
        <f>VLOOKUP(A54,'11 - FINANCEIRA'!_xlnm.Print_Area,28,FALSE)</f>
        <v>1</v>
      </c>
      <c r="K52" s="2489"/>
      <c r="L52" s="241" t="str">
        <f>VLOOKUP(A54,'11 - FINANCEIRA'!_xlnm.Print_Area,4,FALSE)</f>
        <v>und</v>
      </c>
      <c r="M52" s="2646" t="s">
        <v>258</v>
      </c>
      <c r="N52" s="2647"/>
      <c r="O52" s="2647"/>
      <c r="P52" s="2647"/>
      <c r="Q52" s="2648"/>
      <c r="R52" s="242">
        <f>SUM(R48:R51)</f>
        <v>1</v>
      </c>
      <c r="S52" s="243" t="str">
        <f>L52</f>
        <v>und</v>
      </c>
      <c r="T52" s="244"/>
      <c r="U52" s="245"/>
      <c r="V52" s="174">
        <f t="shared" si="3"/>
        <v>0</v>
      </c>
    </row>
    <row r="53" spans="1:27" s="40" customFormat="1" hidden="1">
      <c r="A53" s="1106"/>
      <c r="B53" s="246"/>
      <c r="C53" s="247"/>
      <c r="D53" s="2521" t="s">
        <v>259</v>
      </c>
      <c r="E53" s="2522"/>
      <c r="F53" s="2522"/>
      <c r="G53" s="2522"/>
      <c r="H53" s="2522"/>
      <c r="I53" s="2523"/>
      <c r="J53" s="2515">
        <f>R52/J52</f>
        <v>1</v>
      </c>
      <c r="K53" s="2516"/>
      <c r="L53" s="2554"/>
      <c r="M53" s="2556" t="s">
        <v>260</v>
      </c>
      <c r="N53" s="2557"/>
      <c r="O53" s="2557"/>
      <c r="P53" s="2557"/>
      <c r="Q53" s="2558"/>
      <c r="R53" s="248">
        <f>VLOOKUP(A54,'11 - FINANCEIRA'!_xlnm.Print_Area,8,FALSE)</f>
        <v>1</v>
      </c>
      <c r="S53" s="249" t="str">
        <f>L52</f>
        <v>und</v>
      </c>
      <c r="T53" s="244"/>
      <c r="U53" s="245"/>
      <c r="V53" s="174">
        <f t="shared" si="3"/>
        <v>0</v>
      </c>
    </row>
    <row r="54" spans="1:27" s="40" customFormat="1" hidden="1">
      <c r="A54" s="1106" t="s">
        <v>14</v>
      </c>
      <c r="B54" s="246"/>
      <c r="C54" s="240"/>
      <c r="D54" s="2524"/>
      <c r="E54" s="2525"/>
      <c r="F54" s="2525"/>
      <c r="G54" s="2525"/>
      <c r="H54" s="2525"/>
      <c r="I54" s="2526"/>
      <c r="J54" s="2519"/>
      <c r="K54" s="2520"/>
      <c r="L54" s="2570"/>
      <c r="M54" s="2574" t="s">
        <v>261</v>
      </c>
      <c r="N54" s="2575"/>
      <c r="O54" s="2575"/>
      <c r="P54" s="2575"/>
      <c r="Q54" s="2576"/>
      <c r="R54" s="251">
        <f>R52-R53</f>
        <v>0</v>
      </c>
      <c r="S54" s="252" t="str">
        <f>L52</f>
        <v>und</v>
      </c>
      <c r="T54" s="244"/>
      <c r="U54" s="245"/>
      <c r="V54" s="174">
        <f>R54</f>
        <v>0</v>
      </c>
    </row>
    <row r="55" spans="1:27" s="40" customFormat="1" hidden="1">
      <c r="A55" s="1106"/>
      <c r="B55" s="295"/>
      <c r="C55" s="254"/>
      <c r="D55" s="255"/>
      <c r="E55" s="256"/>
      <c r="F55" s="255"/>
      <c r="G55" s="255"/>
      <c r="H55" s="255"/>
      <c r="I55" s="255"/>
      <c r="J55" s="257"/>
      <c r="K55" s="258"/>
      <c r="L55" s="259"/>
      <c r="M55" s="260"/>
      <c r="N55" s="260"/>
      <c r="O55" s="260"/>
      <c r="P55" s="260"/>
      <c r="Q55" s="260"/>
      <c r="R55" s="261"/>
      <c r="S55" s="262"/>
      <c r="T55" s="263"/>
      <c r="U55" s="264"/>
      <c r="V55" s="265">
        <f>SUM(V46:V54)</f>
        <v>0</v>
      </c>
    </row>
    <row r="56" spans="1:27" s="176" customFormat="1" ht="66.75" hidden="1" customHeight="1">
      <c r="A56" s="1106"/>
      <c r="B56" s="2463">
        <f>VLOOKUP(A64,'11 - FINANCEIRA'!_xlnm.Print_Area,2,FALSE)</f>
        <v>20350</v>
      </c>
      <c r="C56" s="2629" t="str">
        <f>VLOOKUP(A64,'11 - FINANCEIRA'!_xlnm.Print_Area,3,FALSE)</f>
        <v>Tapume Telha Metálica Ondulada Em Aço Galvalume 0,50Mm Branca H=2,20M, Incl. Montagem Estr. Mad. 8"X8", C/Adesivo "Der-Es" 60X60Cm A Cada 10M, Incl. Faixas Pint. Esmalte Sint. Cores Azul C/ H=30Cm E Rosa C/ H=10Cm (Reaproveitamento 2X)</v>
      </c>
      <c r="D56" s="2472" t="s">
        <v>242</v>
      </c>
      <c r="E56" s="2473"/>
      <c r="F56" s="2473"/>
      <c r="G56" s="2473"/>
      <c r="H56" s="2473"/>
      <c r="I56" s="2474"/>
      <c r="J56" s="2467" t="s">
        <v>243</v>
      </c>
      <c r="K56" s="2467" t="s">
        <v>244</v>
      </c>
      <c r="L56" s="2467" t="s">
        <v>245</v>
      </c>
      <c r="M56" s="2467" t="s">
        <v>246</v>
      </c>
      <c r="N56" s="2467" t="s">
        <v>247</v>
      </c>
      <c r="O56" s="2467" t="s">
        <v>248</v>
      </c>
      <c r="P56" s="173" t="s">
        <v>249</v>
      </c>
      <c r="Q56" s="2467" t="s">
        <v>250</v>
      </c>
      <c r="R56" s="2579" t="s">
        <v>139</v>
      </c>
      <c r="S56" s="2467" t="s">
        <v>251</v>
      </c>
      <c r="T56" s="2467" t="s">
        <v>252</v>
      </c>
      <c r="U56" s="2584" t="s">
        <v>253</v>
      </c>
      <c r="V56" s="174">
        <f t="shared" ref="V56:V63" si="4">V57</f>
        <v>0</v>
      </c>
      <c r="W56" s="175"/>
      <c r="X56" s="175"/>
      <c r="Y56" s="175"/>
      <c r="Z56" s="175"/>
      <c r="AA56" s="175"/>
    </row>
    <row r="57" spans="1:27" s="176" customFormat="1" hidden="1">
      <c r="A57" s="1106"/>
      <c r="B57" s="2464" t="e">
        <f>LEFT(#REF!,5)</f>
        <v>#REF!</v>
      </c>
      <c r="C57" s="2630" t="e">
        <f>VLOOKUP(LEFT(#REF!,5),'11 - FINANCEIRA'!_xlnm.Print_Area,2,FALSE)</f>
        <v>#REF!</v>
      </c>
      <c r="D57" s="2475" t="s">
        <v>254</v>
      </c>
      <c r="E57" s="2476"/>
      <c r="F57" s="2477"/>
      <c r="G57" s="2469" t="s">
        <v>255</v>
      </c>
      <c r="H57" s="2470"/>
      <c r="I57" s="2471"/>
      <c r="J57" s="2468"/>
      <c r="K57" s="2468"/>
      <c r="L57" s="2468"/>
      <c r="M57" s="2468"/>
      <c r="N57" s="2468"/>
      <c r="O57" s="2468"/>
      <c r="P57" s="177" t="s">
        <v>256</v>
      </c>
      <c r="Q57" s="2468"/>
      <c r="R57" s="2580"/>
      <c r="S57" s="2468"/>
      <c r="T57" s="2468"/>
      <c r="U57" s="2585"/>
      <c r="V57" s="174">
        <f t="shared" si="4"/>
        <v>0</v>
      </c>
      <c r="W57" s="175"/>
      <c r="X57" s="175"/>
      <c r="Y57" s="175"/>
      <c r="Z57" s="175"/>
      <c r="AA57" s="175"/>
    </row>
    <row r="58" spans="1:27" s="176" customFormat="1" hidden="1">
      <c r="A58" s="1106"/>
      <c r="B58" s="178"/>
      <c r="C58" s="266" t="s">
        <v>142</v>
      </c>
      <c r="D58" s="267"/>
      <c r="E58" s="268"/>
      <c r="F58" s="269"/>
      <c r="G58" s="270"/>
      <c r="H58" s="271"/>
      <c r="I58" s="272"/>
      <c r="J58" s="273"/>
      <c r="K58" s="273"/>
      <c r="L58" s="273"/>
      <c r="M58" s="273"/>
      <c r="N58" s="273"/>
      <c r="O58" s="273"/>
      <c r="P58" s="274"/>
      <c r="Q58" s="273"/>
      <c r="R58" s="191">
        <v>150.41</v>
      </c>
      <c r="S58" s="275" t="s">
        <v>144</v>
      </c>
      <c r="T58" s="276">
        <v>1</v>
      </c>
      <c r="U58" s="194"/>
      <c r="V58" s="174">
        <f t="shared" si="4"/>
        <v>0</v>
      </c>
      <c r="W58" s="175"/>
      <c r="X58" s="175"/>
      <c r="Y58" s="175"/>
      <c r="Z58" s="175"/>
      <c r="AA58" s="175"/>
    </row>
    <row r="59" spans="1:27" s="176" customFormat="1" ht="75" hidden="1">
      <c r="A59" s="1110"/>
      <c r="B59" s="296"/>
      <c r="C59" s="179" t="s">
        <v>149</v>
      </c>
      <c r="D59" s="297"/>
      <c r="E59" s="298"/>
      <c r="F59" s="299"/>
      <c r="G59" s="300"/>
      <c r="H59" s="301"/>
      <c r="I59" s="302"/>
      <c r="J59" s="192"/>
      <c r="K59" s="297"/>
      <c r="L59" s="192"/>
      <c r="M59" s="299"/>
      <c r="N59" s="298"/>
      <c r="O59" s="297"/>
      <c r="P59" s="303"/>
      <c r="Q59" s="299"/>
      <c r="R59" s="304">
        <v>40</v>
      </c>
      <c r="S59" s="192" t="s">
        <v>144</v>
      </c>
      <c r="T59" s="193">
        <v>7</v>
      </c>
      <c r="U59" s="305"/>
      <c r="V59" s="306">
        <f t="shared" si="4"/>
        <v>0</v>
      </c>
      <c r="W59" s="175"/>
      <c r="X59" s="175"/>
      <c r="Y59" s="175"/>
      <c r="Z59" s="175"/>
      <c r="AA59" s="175"/>
    </row>
    <row r="60" spans="1:27" s="175" customFormat="1" ht="75" hidden="1">
      <c r="A60" s="1110"/>
      <c r="B60" s="342"/>
      <c r="C60" s="339" t="s">
        <v>485</v>
      </c>
      <c r="D60" s="499"/>
      <c r="E60" s="497"/>
      <c r="F60" s="500"/>
      <c r="G60" s="499"/>
      <c r="H60" s="497"/>
      <c r="I60" s="500"/>
      <c r="J60" s="340"/>
      <c r="K60" s="344">
        <v>53.8</v>
      </c>
      <c r="L60" s="344"/>
      <c r="M60" s="344"/>
      <c r="N60" s="344"/>
      <c r="O60" s="345"/>
      <c r="P60" s="344"/>
      <c r="Q60" s="345"/>
      <c r="R60" s="346">
        <f>K60</f>
        <v>53.8</v>
      </c>
      <c r="S60" s="406" t="s">
        <v>144</v>
      </c>
      <c r="T60" s="347">
        <v>12</v>
      </c>
      <c r="U60" s="392" t="s">
        <v>492</v>
      </c>
      <c r="V60" s="306">
        <f t="shared" si="4"/>
        <v>0</v>
      </c>
    </row>
    <row r="61" spans="1:27" s="175" customFormat="1" ht="75" hidden="1">
      <c r="A61" s="1110"/>
      <c r="B61" s="348"/>
      <c r="C61" s="547" t="s">
        <v>485</v>
      </c>
      <c r="D61" s="501"/>
      <c r="E61" s="502"/>
      <c r="F61" s="503"/>
      <c r="G61" s="501"/>
      <c r="H61" s="502"/>
      <c r="I61" s="503"/>
      <c r="J61" s="357"/>
      <c r="K61" s="350">
        <v>53.8</v>
      </c>
      <c r="L61" s="350"/>
      <c r="M61" s="350"/>
      <c r="N61" s="350"/>
      <c r="O61" s="1602"/>
      <c r="P61" s="350"/>
      <c r="Q61" s="1602"/>
      <c r="R61" s="356">
        <v>55.79</v>
      </c>
      <c r="S61" s="353" t="s">
        <v>144</v>
      </c>
      <c r="T61" s="355">
        <v>22</v>
      </c>
      <c r="U61" s="1604" t="s">
        <v>846</v>
      </c>
      <c r="V61" s="306">
        <f t="shared" si="4"/>
        <v>0</v>
      </c>
    </row>
    <row r="62" spans="1:27" s="40" customFormat="1" ht="30.75" hidden="1" customHeight="1">
      <c r="A62" s="1106"/>
      <c r="B62" s="239"/>
      <c r="C62" s="1603"/>
      <c r="D62" s="2527" t="s">
        <v>420</v>
      </c>
      <c r="E62" s="2528"/>
      <c r="F62" s="2528"/>
      <c r="G62" s="2528"/>
      <c r="H62" s="2528"/>
      <c r="I62" s="2529"/>
      <c r="J62" s="2490">
        <f>VLOOKUP(A64,'11 - FINANCEIRA'!_xlnm.Print_Area,28,FALSE)</f>
        <v>300</v>
      </c>
      <c r="K62" s="2491"/>
      <c r="L62" s="309" t="str">
        <f>VLOOKUP(A64,'11 - FINANCEIRA'!_xlnm.Print_Area,4,FALSE)</f>
        <v>m</v>
      </c>
      <c r="M62" s="2556" t="s">
        <v>258</v>
      </c>
      <c r="N62" s="2557"/>
      <c r="O62" s="2557"/>
      <c r="P62" s="2557"/>
      <c r="Q62" s="2558"/>
      <c r="R62" s="248">
        <f>SUM(R58:R61)</f>
        <v>300</v>
      </c>
      <c r="S62" s="310" t="str">
        <f>L62</f>
        <v>m</v>
      </c>
      <c r="T62" s="321"/>
      <c r="U62" s="322"/>
      <c r="V62" s="174">
        <f t="shared" si="4"/>
        <v>0</v>
      </c>
    </row>
    <row r="63" spans="1:27" s="40" customFormat="1" hidden="1">
      <c r="A63" s="1106"/>
      <c r="B63" s="246"/>
      <c r="C63" s="247"/>
      <c r="D63" s="2521" t="s">
        <v>259</v>
      </c>
      <c r="E63" s="2522"/>
      <c r="F63" s="2522"/>
      <c r="G63" s="2522"/>
      <c r="H63" s="2522"/>
      <c r="I63" s="2523"/>
      <c r="J63" s="2515">
        <f>R62/J62</f>
        <v>1</v>
      </c>
      <c r="K63" s="2516"/>
      <c r="L63" s="2554"/>
      <c r="M63" s="2556" t="s">
        <v>260</v>
      </c>
      <c r="N63" s="2557"/>
      <c r="O63" s="2557"/>
      <c r="P63" s="2557"/>
      <c r="Q63" s="2558"/>
      <c r="R63" s="248">
        <f>VLOOKUP(A64,'11 - FINANCEIRA'!_xlnm.Print_Area,8,FALSE)</f>
        <v>300</v>
      </c>
      <c r="S63" s="249" t="str">
        <f>L62</f>
        <v>m</v>
      </c>
      <c r="T63" s="244"/>
      <c r="U63" s="245"/>
      <c r="V63" s="174">
        <f t="shared" si="4"/>
        <v>0</v>
      </c>
    </row>
    <row r="64" spans="1:27" s="40" customFormat="1" hidden="1">
      <c r="A64" s="1106" t="s">
        <v>15</v>
      </c>
      <c r="B64" s="246"/>
      <c r="C64" s="240"/>
      <c r="D64" s="2524"/>
      <c r="E64" s="2525"/>
      <c r="F64" s="2525"/>
      <c r="G64" s="2525"/>
      <c r="H64" s="2525"/>
      <c r="I64" s="2526"/>
      <c r="J64" s="2519"/>
      <c r="K64" s="2520"/>
      <c r="L64" s="2570"/>
      <c r="M64" s="2574" t="s">
        <v>261</v>
      </c>
      <c r="N64" s="2575"/>
      <c r="O64" s="2575"/>
      <c r="P64" s="2575"/>
      <c r="Q64" s="2576"/>
      <c r="R64" s="251">
        <f>R62-R63</f>
        <v>0</v>
      </c>
      <c r="S64" s="252" t="str">
        <f>L62</f>
        <v>m</v>
      </c>
      <c r="T64" s="244"/>
      <c r="U64" s="245"/>
      <c r="V64" s="174">
        <f>R64</f>
        <v>0</v>
      </c>
    </row>
    <row r="65" spans="1:27" s="40" customFormat="1" hidden="1">
      <c r="A65" s="1106"/>
      <c r="B65" s="295"/>
      <c r="C65" s="254"/>
      <c r="D65" s="255"/>
      <c r="E65" s="256"/>
      <c r="F65" s="255"/>
      <c r="G65" s="255"/>
      <c r="H65" s="255"/>
      <c r="I65" s="255"/>
      <c r="J65" s="257"/>
      <c r="K65" s="258"/>
      <c r="L65" s="259"/>
      <c r="M65" s="260"/>
      <c r="N65" s="260"/>
      <c r="O65" s="260"/>
      <c r="P65" s="260"/>
      <c r="Q65" s="260"/>
      <c r="R65" s="261"/>
      <c r="S65" s="262"/>
      <c r="T65" s="263"/>
      <c r="U65" s="264"/>
      <c r="V65" s="265">
        <f>SUM(V56:V64)</f>
        <v>0</v>
      </c>
    </row>
    <row r="66" spans="1:27" s="176" customFormat="1" hidden="1">
      <c r="A66" s="1106"/>
      <c r="B66" s="2463">
        <f>VLOOKUP(A74,'11 - FINANCEIRA'!_xlnm.Print_Area,2,FALSE)</f>
        <v>20305</v>
      </c>
      <c r="C66" s="2465" t="str">
        <f>VLOOKUP(A74,'11 - FINANCEIRA'!_xlnm.Print_Area,3,FALSE)</f>
        <v>Placa De Obra Nas Dimensões De 2.0 X 4.0 M, Padrão Iopes</v>
      </c>
      <c r="D66" s="2472" t="s">
        <v>242</v>
      </c>
      <c r="E66" s="2473"/>
      <c r="F66" s="2473"/>
      <c r="G66" s="2473"/>
      <c r="H66" s="2473"/>
      <c r="I66" s="2474"/>
      <c r="J66" s="2467" t="s">
        <v>139</v>
      </c>
      <c r="K66" s="2467" t="s">
        <v>244</v>
      </c>
      <c r="L66" s="2467" t="s">
        <v>245</v>
      </c>
      <c r="M66" s="2467" t="s">
        <v>246</v>
      </c>
      <c r="N66" s="2467" t="s">
        <v>247</v>
      </c>
      <c r="O66" s="2467" t="s">
        <v>248</v>
      </c>
      <c r="P66" s="173" t="s">
        <v>249</v>
      </c>
      <c r="Q66" s="2467" t="s">
        <v>250</v>
      </c>
      <c r="R66" s="2579" t="s">
        <v>139</v>
      </c>
      <c r="S66" s="2467" t="s">
        <v>251</v>
      </c>
      <c r="T66" s="2467" t="s">
        <v>252</v>
      </c>
      <c r="U66" s="2584" t="s">
        <v>253</v>
      </c>
      <c r="V66" s="174">
        <f t="shared" ref="V66:V73" si="5">V67</f>
        <v>0</v>
      </c>
      <c r="W66" s="175"/>
      <c r="X66" s="175"/>
      <c r="Y66" s="175"/>
      <c r="Z66" s="175"/>
      <c r="AA66" s="175"/>
    </row>
    <row r="67" spans="1:27" s="176" customFormat="1" hidden="1">
      <c r="A67" s="1106"/>
      <c r="B67" s="2464" t="e">
        <f>LEFT(#REF!,5)</f>
        <v>#REF!</v>
      </c>
      <c r="C67" s="2466" t="e">
        <f>VLOOKUP(LEFT(#REF!,5),'11 - FINANCEIRA'!_xlnm.Print_Area,2,FALSE)</f>
        <v>#REF!</v>
      </c>
      <c r="D67" s="2475" t="s">
        <v>254</v>
      </c>
      <c r="E67" s="2476"/>
      <c r="F67" s="2477"/>
      <c r="G67" s="2469" t="s">
        <v>255</v>
      </c>
      <c r="H67" s="2470"/>
      <c r="I67" s="2471"/>
      <c r="J67" s="2468"/>
      <c r="K67" s="2468"/>
      <c r="L67" s="2468"/>
      <c r="M67" s="2468"/>
      <c r="N67" s="2468"/>
      <c r="O67" s="2468"/>
      <c r="P67" s="177" t="s">
        <v>256</v>
      </c>
      <c r="Q67" s="2468"/>
      <c r="R67" s="2580"/>
      <c r="S67" s="2468"/>
      <c r="T67" s="2468"/>
      <c r="U67" s="2585"/>
      <c r="V67" s="174">
        <f t="shared" si="5"/>
        <v>0</v>
      </c>
      <c r="W67" s="175"/>
      <c r="X67" s="175"/>
      <c r="Y67" s="175"/>
      <c r="Z67" s="175"/>
      <c r="AA67" s="175"/>
    </row>
    <row r="68" spans="1:27" s="176" customFormat="1" hidden="1">
      <c r="A68" s="1106"/>
      <c r="B68" s="178"/>
      <c r="C68" s="266" t="s">
        <v>142</v>
      </c>
      <c r="D68" s="267"/>
      <c r="E68" s="268"/>
      <c r="F68" s="269"/>
      <c r="G68" s="270"/>
      <c r="H68" s="271"/>
      <c r="I68" s="272"/>
      <c r="J68" s="273"/>
      <c r="K68" s="273"/>
      <c r="L68" s="273"/>
      <c r="M68" s="273"/>
      <c r="N68" s="273"/>
      <c r="O68" s="273"/>
      <c r="P68" s="274"/>
      <c r="Q68" s="273"/>
      <c r="R68" s="191">
        <v>8</v>
      </c>
      <c r="S68" s="275" t="s">
        <v>164</v>
      </c>
      <c r="T68" s="276">
        <v>1</v>
      </c>
      <c r="U68" s="194"/>
      <c r="V68" s="174">
        <f t="shared" si="5"/>
        <v>0</v>
      </c>
      <c r="W68" s="175"/>
      <c r="X68" s="175"/>
      <c r="Y68" s="175"/>
      <c r="Z68" s="175"/>
      <c r="AA68" s="175"/>
    </row>
    <row r="69" spans="1:27" s="176" customFormat="1" hidden="1">
      <c r="A69" s="1104"/>
      <c r="B69" s="195"/>
      <c r="C69" s="277"/>
      <c r="D69" s="278"/>
      <c r="E69" s="279"/>
      <c r="F69" s="280"/>
      <c r="G69" s="281"/>
      <c r="H69" s="282"/>
      <c r="I69" s="283"/>
      <c r="J69" s="284"/>
      <c r="K69" s="278"/>
      <c r="L69" s="284"/>
      <c r="M69" s="280"/>
      <c r="N69" s="279"/>
      <c r="O69" s="278"/>
      <c r="P69" s="285"/>
      <c r="Q69" s="280"/>
      <c r="R69" s="304"/>
      <c r="S69" s="192"/>
      <c r="T69" s="286"/>
      <c r="U69" s="205"/>
      <c r="V69" s="174">
        <f t="shared" si="5"/>
        <v>0</v>
      </c>
      <c r="W69" s="175"/>
      <c r="X69" s="175"/>
      <c r="Y69" s="175"/>
      <c r="Z69" s="175"/>
      <c r="AA69" s="175"/>
    </row>
    <row r="70" spans="1:27" s="222" customFormat="1" hidden="1">
      <c r="A70" s="1105"/>
      <c r="B70" s="206"/>
      <c r="C70" s="287"/>
      <c r="D70" s="288"/>
      <c r="E70" s="289"/>
      <c r="F70" s="290"/>
      <c r="G70" s="288"/>
      <c r="H70" s="289"/>
      <c r="I70" s="290"/>
      <c r="J70" s="201"/>
      <c r="K70" s="291"/>
      <c r="L70" s="291"/>
      <c r="M70" s="291"/>
      <c r="N70" s="291"/>
      <c r="O70" s="292"/>
      <c r="P70" s="291"/>
      <c r="Q70" s="292"/>
      <c r="R70" s="218"/>
      <c r="S70" s="293"/>
      <c r="T70" s="204"/>
      <c r="U70" s="221"/>
      <c r="V70" s="174">
        <f t="shared" si="5"/>
        <v>0</v>
      </c>
    </row>
    <row r="71" spans="1:27" s="222" customFormat="1" hidden="1">
      <c r="A71" s="1106"/>
      <c r="B71" s="223"/>
      <c r="C71" s="224"/>
      <c r="D71" s="225"/>
      <c r="E71" s="226"/>
      <c r="F71" s="227"/>
      <c r="G71" s="225"/>
      <c r="H71" s="226"/>
      <c r="I71" s="227"/>
      <c r="J71" s="228"/>
      <c r="K71" s="229"/>
      <c r="L71" s="230"/>
      <c r="M71" s="231"/>
      <c r="N71" s="232"/>
      <c r="O71" s="233"/>
      <c r="P71" s="230"/>
      <c r="Q71" s="234"/>
      <c r="R71" s="235"/>
      <c r="S71" s="236"/>
      <c r="T71" s="294"/>
      <c r="U71" s="238"/>
      <c r="V71" s="174">
        <f t="shared" si="5"/>
        <v>0</v>
      </c>
    </row>
    <row r="72" spans="1:27" s="40" customFormat="1" hidden="1">
      <c r="A72" s="1106"/>
      <c r="B72" s="246"/>
      <c r="C72" s="240"/>
      <c r="D72" s="2539" t="s">
        <v>257</v>
      </c>
      <c r="E72" s="2540"/>
      <c r="F72" s="2540"/>
      <c r="G72" s="2540"/>
      <c r="H72" s="2540"/>
      <c r="I72" s="2541"/>
      <c r="J72" s="2488">
        <f>VLOOKUP(A74,'11 - FINANCEIRA'!_xlnm.Print_Area,28,FALSE)</f>
        <v>8</v>
      </c>
      <c r="K72" s="2489"/>
      <c r="L72" s="241" t="str">
        <f>VLOOKUP(A74,'11 - FINANCEIRA'!_xlnm.Print_Area,4,FALSE)</f>
        <v>m²</v>
      </c>
      <c r="M72" s="2646" t="s">
        <v>258</v>
      </c>
      <c r="N72" s="2647"/>
      <c r="O72" s="2647"/>
      <c r="P72" s="2647"/>
      <c r="Q72" s="2648"/>
      <c r="R72" s="242">
        <f>SUM(R68:R71)</f>
        <v>8</v>
      </c>
      <c r="S72" s="243" t="str">
        <f>L72</f>
        <v>m²</v>
      </c>
      <c r="T72" s="244"/>
      <c r="U72" s="245"/>
      <c r="V72" s="174">
        <f t="shared" si="5"/>
        <v>0</v>
      </c>
    </row>
    <row r="73" spans="1:27" s="40" customFormat="1" hidden="1">
      <c r="A73" s="1106"/>
      <c r="B73" s="246"/>
      <c r="C73" s="247"/>
      <c r="D73" s="2521" t="s">
        <v>259</v>
      </c>
      <c r="E73" s="2522"/>
      <c r="F73" s="2522"/>
      <c r="G73" s="2522"/>
      <c r="H73" s="2522"/>
      <c r="I73" s="2523"/>
      <c r="J73" s="2515">
        <f>R72/J72</f>
        <v>1</v>
      </c>
      <c r="K73" s="2516"/>
      <c r="L73" s="2554"/>
      <c r="M73" s="2556" t="s">
        <v>260</v>
      </c>
      <c r="N73" s="2557"/>
      <c r="O73" s="2557"/>
      <c r="P73" s="2557"/>
      <c r="Q73" s="2558"/>
      <c r="R73" s="248">
        <f>VLOOKUP(A74,'11 - FINANCEIRA'!_xlnm.Print_Area,8,FALSE)</f>
        <v>8</v>
      </c>
      <c r="S73" s="249" t="str">
        <f>L72</f>
        <v>m²</v>
      </c>
      <c r="T73" s="244"/>
      <c r="U73" s="245"/>
      <c r="V73" s="174">
        <f t="shared" si="5"/>
        <v>0</v>
      </c>
    </row>
    <row r="74" spans="1:27" s="40" customFormat="1" hidden="1">
      <c r="A74" s="1106" t="s">
        <v>16</v>
      </c>
      <c r="B74" s="246"/>
      <c r="C74" s="240"/>
      <c r="D74" s="2524"/>
      <c r="E74" s="2525"/>
      <c r="F74" s="2525"/>
      <c r="G74" s="2525"/>
      <c r="H74" s="2525"/>
      <c r="I74" s="2526"/>
      <c r="J74" s="2519"/>
      <c r="K74" s="2520"/>
      <c r="L74" s="2570"/>
      <c r="M74" s="2574" t="s">
        <v>261</v>
      </c>
      <c r="N74" s="2575"/>
      <c r="O74" s="2575"/>
      <c r="P74" s="2575"/>
      <c r="Q74" s="2576"/>
      <c r="R74" s="251">
        <f>R72-R73</f>
        <v>0</v>
      </c>
      <c r="S74" s="252" t="str">
        <f>L72</f>
        <v>m²</v>
      </c>
      <c r="T74" s="244"/>
      <c r="U74" s="245"/>
      <c r="V74" s="174">
        <f>R74</f>
        <v>0</v>
      </c>
    </row>
    <row r="75" spans="1:27" s="40" customFormat="1" hidden="1">
      <c r="A75" s="1106"/>
      <c r="B75" s="295"/>
      <c r="C75" s="254"/>
      <c r="D75" s="255"/>
      <c r="E75" s="256"/>
      <c r="F75" s="255"/>
      <c r="G75" s="255"/>
      <c r="H75" s="255"/>
      <c r="I75" s="255"/>
      <c r="J75" s="257"/>
      <c r="K75" s="258"/>
      <c r="L75" s="259"/>
      <c r="M75" s="260"/>
      <c r="N75" s="260"/>
      <c r="O75" s="260"/>
      <c r="P75" s="260"/>
      <c r="Q75" s="260"/>
      <c r="R75" s="261"/>
      <c r="S75" s="262"/>
      <c r="T75" s="263"/>
      <c r="U75" s="264"/>
      <c r="V75" s="265">
        <f>SUM(V66:V74)</f>
        <v>0</v>
      </c>
    </row>
    <row r="76" spans="1:27" s="176" customFormat="1" hidden="1">
      <c r="A76" s="1106"/>
      <c r="B76" s="2463">
        <f>VLOOKUP(A84,'11 - FINANCEIRA'!_xlnm.Print_Area,2,FALSE)</f>
        <v>200576</v>
      </c>
      <c r="C76" s="2644" t="str">
        <f>VLOOKUP(A84,'11 - FINANCEIRA'!_xlnm.Print_Area,3,FALSE)</f>
        <v>Placa Para Inauguração De Obra Em Alumínio Polido E=4Mm, Dimensões 40 X 50 Cm, Gravação Em Baixo Relevo, Inclusive Pintura E Fixação</v>
      </c>
      <c r="D76" s="2472" t="s">
        <v>242</v>
      </c>
      <c r="E76" s="2473"/>
      <c r="F76" s="2473"/>
      <c r="G76" s="2473"/>
      <c r="H76" s="2473"/>
      <c r="I76" s="2474"/>
      <c r="J76" s="2467" t="s">
        <v>243</v>
      </c>
      <c r="K76" s="2467" t="s">
        <v>244</v>
      </c>
      <c r="L76" s="2467" t="s">
        <v>245</v>
      </c>
      <c r="M76" s="2467" t="s">
        <v>246</v>
      </c>
      <c r="N76" s="2467" t="s">
        <v>247</v>
      </c>
      <c r="O76" s="2467" t="s">
        <v>248</v>
      </c>
      <c r="P76" s="173" t="s">
        <v>249</v>
      </c>
      <c r="Q76" s="2467" t="s">
        <v>250</v>
      </c>
      <c r="R76" s="2579" t="s">
        <v>139</v>
      </c>
      <c r="S76" s="2467" t="s">
        <v>251</v>
      </c>
      <c r="T76" s="2467" t="s">
        <v>252</v>
      </c>
      <c r="U76" s="2584" t="s">
        <v>253</v>
      </c>
      <c r="V76" s="174">
        <f t="shared" ref="V76:V83" si="6">V77</f>
        <v>0</v>
      </c>
      <c r="W76" s="175"/>
      <c r="X76" s="175"/>
      <c r="Y76" s="175"/>
      <c r="Z76" s="175"/>
      <c r="AA76" s="175"/>
    </row>
    <row r="77" spans="1:27" s="176" customFormat="1" hidden="1">
      <c r="A77" s="1106"/>
      <c r="B77" s="2464" t="e">
        <f>LEFT(#REF!,5)</f>
        <v>#REF!</v>
      </c>
      <c r="C77" s="2645" t="e">
        <f>VLOOKUP(LEFT(#REF!,5),'11 - FINANCEIRA'!_xlnm.Print_Area,2,FALSE)</f>
        <v>#REF!</v>
      </c>
      <c r="D77" s="2475" t="s">
        <v>254</v>
      </c>
      <c r="E77" s="2476"/>
      <c r="F77" s="2477"/>
      <c r="G77" s="2469" t="s">
        <v>255</v>
      </c>
      <c r="H77" s="2470"/>
      <c r="I77" s="2471"/>
      <c r="J77" s="2468"/>
      <c r="K77" s="2468"/>
      <c r="L77" s="2468"/>
      <c r="M77" s="2468"/>
      <c r="N77" s="2468"/>
      <c r="O77" s="2468"/>
      <c r="P77" s="177" t="s">
        <v>256</v>
      </c>
      <c r="Q77" s="2468"/>
      <c r="R77" s="2580"/>
      <c r="S77" s="2468"/>
      <c r="T77" s="2468"/>
      <c r="U77" s="2585"/>
      <c r="V77" s="174">
        <f t="shared" si="6"/>
        <v>0</v>
      </c>
      <c r="W77" s="175"/>
      <c r="X77" s="175"/>
      <c r="Y77" s="175"/>
      <c r="Z77" s="175"/>
      <c r="AA77" s="175"/>
    </row>
    <row r="78" spans="1:27" s="176" customFormat="1" hidden="1">
      <c r="A78" s="1106"/>
      <c r="B78" s="178"/>
      <c r="C78" s="307"/>
      <c r="D78" s="267"/>
      <c r="E78" s="268"/>
      <c r="F78" s="269"/>
      <c r="G78" s="270"/>
      <c r="H78" s="271"/>
      <c r="I78" s="272"/>
      <c r="J78" s="273"/>
      <c r="K78" s="273"/>
      <c r="L78" s="273"/>
      <c r="M78" s="273"/>
      <c r="N78" s="273"/>
      <c r="O78" s="273"/>
      <c r="P78" s="274"/>
      <c r="Q78" s="273"/>
      <c r="R78" s="308"/>
      <c r="S78" s="273"/>
      <c r="T78" s="276"/>
      <c r="U78" s="194"/>
      <c r="V78" s="174">
        <f t="shared" si="6"/>
        <v>0</v>
      </c>
      <c r="W78" s="175"/>
      <c r="X78" s="175"/>
      <c r="Y78" s="175"/>
      <c r="Z78" s="175"/>
      <c r="AA78" s="175"/>
    </row>
    <row r="79" spans="1:27" s="176" customFormat="1" hidden="1">
      <c r="A79" s="1104"/>
      <c r="B79" s="195"/>
      <c r="C79" s="277"/>
      <c r="D79" s="278"/>
      <c r="E79" s="279"/>
      <c r="F79" s="280"/>
      <c r="G79" s="281"/>
      <c r="H79" s="282"/>
      <c r="I79" s="283"/>
      <c r="J79" s="284"/>
      <c r="K79" s="278"/>
      <c r="L79" s="284"/>
      <c r="M79" s="280"/>
      <c r="N79" s="279"/>
      <c r="O79" s="278"/>
      <c r="P79" s="285"/>
      <c r="Q79" s="280"/>
      <c r="R79" s="203"/>
      <c r="S79" s="284"/>
      <c r="T79" s="286"/>
      <c r="U79" s="205"/>
      <c r="V79" s="174">
        <f t="shared" si="6"/>
        <v>0</v>
      </c>
      <c r="W79" s="175"/>
      <c r="X79" s="175"/>
      <c r="Y79" s="175"/>
      <c r="Z79" s="175"/>
      <c r="AA79" s="175"/>
    </row>
    <row r="80" spans="1:27" s="222" customFormat="1" hidden="1">
      <c r="A80" s="1105"/>
      <c r="B80" s="206"/>
      <c r="C80" s="287"/>
      <c r="D80" s="288"/>
      <c r="E80" s="289"/>
      <c r="F80" s="290"/>
      <c r="G80" s="288"/>
      <c r="H80" s="289"/>
      <c r="I80" s="290"/>
      <c r="J80" s="201"/>
      <c r="K80" s="291"/>
      <c r="L80" s="291"/>
      <c r="M80" s="291"/>
      <c r="N80" s="291"/>
      <c r="O80" s="292"/>
      <c r="P80" s="291"/>
      <c r="Q80" s="292"/>
      <c r="R80" s="218"/>
      <c r="S80" s="293"/>
      <c r="T80" s="204"/>
      <c r="U80" s="221"/>
      <c r="V80" s="174">
        <f t="shared" si="6"/>
        <v>0</v>
      </c>
    </row>
    <row r="81" spans="1:27" s="222" customFormat="1" hidden="1">
      <c r="A81" s="1106"/>
      <c r="B81" s="223"/>
      <c r="C81" s="224"/>
      <c r="D81" s="225"/>
      <c r="E81" s="226"/>
      <c r="F81" s="227"/>
      <c r="G81" s="225"/>
      <c r="H81" s="226"/>
      <c r="I81" s="227"/>
      <c r="J81" s="228"/>
      <c r="K81" s="229"/>
      <c r="L81" s="230"/>
      <c r="M81" s="231"/>
      <c r="N81" s="232"/>
      <c r="O81" s="233"/>
      <c r="P81" s="230"/>
      <c r="Q81" s="234"/>
      <c r="R81" s="235"/>
      <c r="S81" s="236"/>
      <c r="T81" s="294"/>
      <c r="U81" s="238"/>
      <c r="V81" s="174">
        <f t="shared" si="6"/>
        <v>0</v>
      </c>
    </row>
    <row r="82" spans="1:27" s="40" customFormat="1" hidden="1">
      <c r="A82" s="1106"/>
      <c r="B82" s="246"/>
      <c r="C82" s="240"/>
      <c r="D82" s="2527" t="s">
        <v>257</v>
      </c>
      <c r="E82" s="2528"/>
      <c r="F82" s="2528"/>
      <c r="G82" s="2528"/>
      <c r="H82" s="2528"/>
      <c r="I82" s="2529"/>
      <c r="J82" s="2488">
        <f>VLOOKUP(A84,'11 - FINANCEIRA'!_xlnm.Print_Area,30,FALSE)</f>
        <v>1</v>
      </c>
      <c r="K82" s="2489"/>
      <c r="L82" s="309" t="str">
        <f>VLOOKUP(A84,'11 - FINANCEIRA'!_xlnm.Print_Area,4,FALSE)</f>
        <v>und</v>
      </c>
      <c r="M82" s="2556" t="s">
        <v>258</v>
      </c>
      <c r="N82" s="2557"/>
      <c r="O82" s="2557"/>
      <c r="P82" s="2557"/>
      <c r="Q82" s="2558"/>
      <c r="R82" s="248">
        <f>SUM(R78:R81)</f>
        <v>0</v>
      </c>
      <c r="S82" s="310" t="str">
        <f>L82</f>
        <v>und</v>
      </c>
      <c r="T82" s="244"/>
      <c r="U82" s="245"/>
      <c r="V82" s="174">
        <f t="shared" si="6"/>
        <v>0</v>
      </c>
    </row>
    <row r="83" spans="1:27" s="40" customFormat="1" hidden="1">
      <c r="A83" s="1106"/>
      <c r="B83" s="246"/>
      <c r="C83" s="247"/>
      <c r="D83" s="2521" t="s">
        <v>259</v>
      </c>
      <c r="E83" s="2522"/>
      <c r="F83" s="2522"/>
      <c r="G83" s="2522"/>
      <c r="H83" s="2522"/>
      <c r="I83" s="2523"/>
      <c r="J83" s="2515">
        <f>R82/J82</f>
        <v>0</v>
      </c>
      <c r="K83" s="2516"/>
      <c r="L83" s="2554"/>
      <c r="M83" s="2556" t="s">
        <v>260</v>
      </c>
      <c r="N83" s="2557"/>
      <c r="O83" s="2557"/>
      <c r="P83" s="2557"/>
      <c r="Q83" s="2558"/>
      <c r="R83" s="248">
        <f>VLOOKUP(A84,'11 - FINANCEIRA'!_xlnm.Print_Area,8,FALSE)</f>
        <v>0</v>
      </c>
      <c r="S83" s="249" t="str">
        <f>L82</f>
        <v>und</v>
      </c>
      <c r="T83" s="244"/>
      <c r="U83" s="245"/>
      <c r="V83" s="174">
        <f t="shared" si="6"/>
        <v>0</v>
      </c>
    </row>
    <row r="84" spans="1:27" s="40" customFormat="1" hidden="1">
      <c r="A84" s="1106" t="s">
        <v>17</v>
      </c>
      <c r="B84" s="246"/>
      <c r="C84" s="240"/>
      <c r="D84" s="2524"/>
      <c r="E84" s="2525"/>
      <c r="F84" s="2525"/>
      <c r="G84" s="2525"/>
      <c r="H84" s="2525"/>
      <c r="I84" s="2526"/>
      <c r="J84" s="2519"/>
      <c r="K84" s="2520"/>
      <c r="L84" s="2570"/>
      <c r="M84" s="2574" t="s">
        <v>261</v>
      </c>
      <c r="N84" s="2575"/>
      <c r="O84" s="2575"/>
      <c r="P84" s="2575"/>
      <c r="Q84" s="2576"/>
      <c r="R84" s="251">
        <f>R82-R83</f>
        <v>0</v>
      </c>
      <c r="S84" s="252" t="str">
        <f>L82</f>
        <v>und</v>
      </c>
      <c r="T84" s="244"/>
      <c r="U84" s="245"/>
      <c r="V84" s="174">
        <f>R84</f>
        <v>0</v>
      </c>
    </row>
    <row r="85" spans="1:27" s="40" customFormat="1" hidden="1">
      <c r="A85" s="1106"/>
      <c r="B85" s="311"/>
      <c r="C85" s="312"/>
      <c r="D85" s="313"/>
      <c r="E85" s="314"/>
      <c r="F85" s="313"/>
      <c r="G85" s="313"/>
      <c r="H85" s="313"/>
      <c r="I85" s="313"/>
      <c r="J85" s="315"/>
      <c r="K85" s="316"/>
      <c r="L85" s="317"/>
      <c r="M85" s="318"/>
      <c r="N85" s="318"/>
      <c r="O85" s="318"/>
      <c r="P85" s="318"/>
      <c r="Q85" s="318"/>
      <c r="R85" s="319"/>
      <c r="S85" s="320"/>
      <c r="T85" s="321"/>
      <c r="U85" s="322"/>
      <c r="V85" s="265">
        <f>SUM(V76:V84)</f>
        <v>0</v>
      </c>
    </row>
    <row r="86" spans="1:27" s="326" customFormat="1">
      <c r="A86" s="1770"/>
      <c r="B86" s="166" t="str">
        <f>LEFT(A95,5)</f>
        <v>1.2</v>
      </c>
      <c r="C86" s="167" t="str">
        <f>VLOOKUP(LEFT(A95,5),'11 - FINANCEIRA'!_xlnm.Print_Area,2,FALSE)</f>
        <v>Canteiro de Obras</v>
      </c>
      <c r="D86" s="167"/>
      <c r="E86" s="168"/>
      <c r="F86" s="167"/>
      <c r="G86" s="2696"/>
      <c r="H86" s="2696"/>
      <c r="I86" s="2696"/>
      <c r="J86" s="2696"/>
      <c r="K86" s="2696"/>
      <c r="L86" s="2696"/>
      <c r="M86" s="171"/>
      <c r="N86" s="172"/>
      <c r="O86" s="2700"/>
      <c r="P86" s="2700"/>
      <c r="Q86" s="2700"/>
      <c r="R86" s="2700"/>
      <c r="S86" s="323"/>
      <c r="T86" s="324"/>
      <c r="U86" s="325"/>
      <c r="V86" s="163" t="e">
        <f>SUM(V87:V309)</f>
        <v>#REF!</v>
      </c>
    </row>
    <row r="87" spans="1:27" s="176" customFormat="1">
      <c r="A87" s="1106"/>
      <c r="B87" s="2463">
        <f>VLOOKUP(A96,'11 - FINANCEIRA'!_xlnm.Print_Area,2,FALSE)</f>
        <v>20344</v>
      </c>
      <c r="C87" s="2465" t="str">
        <f>VLOOKUP(A96,'11 - FINANCEIRA'!_xlnm.Print_Area,3,FALSE)</f>
        <v xml:space="preserve">Mobilização e desmobilização de conteiner locado </v>
      </c>
      <c r="D87" s="2472" t="s">
        <v>242</v>
      </c>
      <c r="E87" s="2473"/>
      <c r="F87" s="2473"/>
      <c r="G87" s="2473"/>
      <c r="H87" s="2473"/>
      <c r="I87" s="2474"/>
      <c r="J87" s="2467" t="s">
        <v>243</v>
      </c>
      <c r="K87" s="2467" t="s">
        <v>244</v>
      </c>
      <c r="L87" s="2467" t="s">
        <v>245</v>
      </c>
      <c r="M87" s="2467" t="s">
        <v>246</v>
      </c>
      <c r="N87" s="2467" t="s">
        <v>247</v>
      </c>
      <c r="O87" s="2467" t="s">
        <v>248</v>
      </c>
      <c r="P87" s="173" t="s">
        <v>249</v>
      </c>
      <c r="Q87" s="2467" t="s">
        <v>250</v>
      </c>
      <c r="R87" s="2579" t="s">
        <v>139</v>
      </c>
      <c r="S87" s="2467" t="s">
        <v>251</v>
      </c>
      <c r="T87" s="2467" t="s">
        <v>252</v>
      </c>
      <c r="U87" s="2584" t="s">
        <v>253</v>
      </c>
      <c r="V87" s="174">
        <f t="shared" ref="V87:V95" si="7">V88</f>
        <v>0</v>
      </c>
      <c r="W87" s="175"/>
      <c r="X87" s="175"/>
      <c r="Y87" s="175"/>
      <c r="Z87" s="175"/>
      <c r="AA87" s="175"/>
    </row>
    <row r="88" spans="1:27" s="176" customFormat="1">
      <c r="A88" s="1106"/>
      <c r="B88" s="2464" t="e">
        <f>LEFT(#REF!,5)</f>
        <v>#REF!</v>
      </c>
      <c r="C88" s="2466" t="e">
        <f>VLOOKUP(LEFT(#REF!,5),'11 - FINANCEIRA'!_xlnm.Print_Area,2,FALSE)</f>
        <v>#REF!</v>
      </c>
      <c r="D88" s="2475" t="s">
        <v>254</v>
      </c>
      <c r="E88" s="2476"/>
      <c r="F88" s="2477"/>
      <c r="G88" s="2469" t="s">
        <v>255</v>
      </c>
      <c r="H88" s="2470"/>
      <c r="I88" s="2471"/>
      <c r="J88" s="2468"/>
      <c r="K88" s="2468"/>
      <c r="L88" s="2468"/>
      <c r="M88" s="2468"/>
      <c r="N88" s="2468"/>
      <c r="O88" s="2468"/>
      <c r="P88" s="177" t="s">
        <v>256</v>
      </c>
      <c r="Q88" s="2468"/>
      <c r="R88" s="2580"/>
      <c r="S88" s="2468"/>
      <c r="T88" s="2468"/>
      <c r="U88" s="2585"/>
      <c r="V88" s="174">
        <f t="shared" si="7"/>
        <v>0</v>
      </c>
      <c r="W88" s="175"/>
      <c r="X88" s="175"/>
      <c r="Y88" s="175"/>
      <c r="Z88" s="175"/>
      <c r="AA88" s="175"/>
    </row>
    <row r="89" spans="1:27" s="176" customFormat="1">
      <c r="A89" s="1106"/>
      <c r="B89" s="717"/>
      <c r="C89" s="337" t="s">
        <v>262</v>
      </c>
      <c r="D89" s="180"/>
      <c r="E89" s="181"/>
      <c r="F89" s="182"/>
      <c r="G89" s="183"/>
      <c r="H89" s="184"/>
      <c r="I89" s="185"/>
      <c r="J89" s="1065"/>
      <c r="K89" s="1065"/>
      <c r="L89" s="1065"/>
      <c r="M89" s="1065"/>
      <c r="N89" s="1065"/>
      <c r="O89" s="1065"/>
      <c r="P89" s="1066"/>
      <c r="Q89" s="1065"/>
      <c r="R89" s="450">
        <v>2.5</v>
      </c>
      <c r="S89" s="411" t="s">
        <v>148</v>
      </c>
      <c r="T89" s="451">
        <v>1</v>
      </c>
      <c r="U89" s="1555"/>
      <c r="V89" s="174">
        <f t="shared" si="7"/>
        <v>0</v>
      </c>
      <c r="W89" s="175"/>
      <c r="X89" s="175"/>
      <c r="Y89" s="175"/>
      <c r="Z89" s="175"/>
      <c r="AA89" s="175"/>
    </row>
    <row r="90" spans="1:27" s="175" customFormat="1" ht="30">
      <c r="A90" s="1110"/>
      <c r="B90" s="342"/>
      <c r="C90" s="820" t="s">
        <v>526</v>
      </c>
      <c r="D90" s="2533"/>
      <c r="E90" s="2534"/>
      <c r="F90" s="2535"/>
      <c r="G90" s="2533"/>
      <c r="H90" s="2534"/>
      <c r="I90" s="2535"/>
      <c r="J90" s="340"/>
      <c r="K90" s="504"/>
      <c r="L90" s="344"/>
      <c r="M90" s="505"/>
      <c r="N90" s="506"/>
      <c r="O90" s="406"/>
      <c r="P90" s="344"/>
      <c r="Q90" s="507"/>
      <c r="R90" s="346">
        <v>1</v>
      </c>
      <c r="S90" s="340" t="s">
        <v>148</v>
      </c>
      <c r="T90" s="347">
        <v>12</v>
      </c>
      <c r="U90" s="2170" t="s">
        <v>491</v>
      </c>
    </row>
    <row r="91" spans="1:27" s="175" customFormat="1">
      <c r="A91" s="1110"/>
      <c r="B91" s="342"/>
      <c r="C91" s="820" t="s">
        <v>847</v>
      </c>
      <c r="D91" s="2533"/>
      <c r="E91" s="2534"/>
      <c r="F91" s="2535"/>
      <c r="G91" s="2533"/>
      <c r="H91" s="2534"/>
      <c r="I91" s="2535"/>
      <c r="J91" s="340"/>
      <c r="K91" s="504"/>
      <c r="L91" s="344"/>
      <c r="M91" s="505"/>
      <c r="N91" s="506"/>
      <c r="O91" s="406"/>
      <c r="P91" s="344"/>
      <c r="Q91" s="507"/>
      <c r="R91" s="346">
        <v>5</v>
      </c>
      <c r="S91" s="340" t="s">
        <v>148</v>
      </c>
      <c r="T91" s="347">
        <v>22</v>
      </c>
      <c r="U91" s="2170" t="s">
        <v>491</v>
      </c>
    </row>
    <row r="92" spans="1:27" s="175" customFormat="1">
      <c r="A92" s="1110"/>
      <c r="B92" s="2171"/>
      <c r="C92" s="2172" t="s">
        <v>1154</v>
      </c>
      <c r="D92" s="2173"/>
      <c r="E92" s="2174"/>
      <c r="F92" s="2175"/>
      <c r="G92" s="2173"/>
      <c r="H92" s="2174"/>
      <c r="I92" s="2175"/>
      <c r="J92" s="1493"/>
      <c r="K92" s="2176"/>
      <c r="L92" s="1706"/>
      <c r="M92" s="2177"/>
      <c r="N92" s="2178"/>
      <c r="O92" s="2179"/>
      <c r="P92" s="1706"/>
      <c r="Q92" s="2180"/>
      <c r="R92" s="1708">
        <v>2.5</v>
      </c>
      <c r="S92" s="1493" t="s">
        <v>148</v>
      </c>
      <c r="T92" s="1497">
        <v>28</v>
      </c>
      <c r="U92" s="2181"/>
    </row>
    <row r="93" spans="1:27" s="222" customFormat="1" hidden="1">
      <c r="A93" s="1106"/>
      <c r="B93" s="2052"/>
      <c r="C93" s="1304"/>
      <c r="D93" s="2053"/>
      <c r="E93" s="2054"/>
      <c r="F93" s="2055"/>
      <c r="G93" s="2053"/>
      <c r="H93" s="2054"/>
      <c r="I93" s="2055"/>
      <c r="J93" s="2025"/>
      <c r="K93" s="2056"/>
      <c r="L93" s="2057"/>
      <c r="M93" s="1311"/>
      <c r="N93" s="1312"/>
      <c r="O93" s="2058"/>
      <c r="P93" s="2057"/>
      <c r="Q93" s="2059"/>
      <c r="R93" s="2060"/>
      <c r="S93" s="2061"/>
      <c r="T93" s="2028"/>
      <c r="U93" s="2021"/>
      <c r="V93" s="174">
        <f t="shared" si="7"/>
        <v>2.5</v>
      </c>
    </row>
    <row r="94" spans="1:27" s="40" customFormat="1" ht="30" customHeight="1">
      <c r="A94" s="1106"/>
      <c r="B94" s="239"/>
      <c r="C94" s="1603"/>
      <c r="D94" s="2527" t="s">
        <v>420</v>
      </c>
      <c r="E94" s="2528"/>
      <c r="F94" s="2528"/>
      <c r="G94" s="2528"/>
      <c r="H94" s="2528"/>
      <c r="I94" s="2529"/>
      <c r="J94" s="2490">
        <f>VLOOKUP(A96,'11 - FINANCEIRA'!_xlnm.Print_Area,30,FALSE)</f>
        <v>11</v>
      </c>
      <c r="K94" s="2491"/>
      <c r="L94" s="309" t="str">
        <f>VLOOKUP(A96,'11 - FINANCEIRA'!_xlnm.Print_Area,4,FALSE)</f>
        <v>und</v>
      </c>
      <c r="M94" s="2556" t="s">
        <v>258</v>
      </c>
      <c r="N94" s="2557"/>
      <c r="O94" s="2557"/>
      <c r="P94" s="2557"/>
      <c r="Q94" s="2558"/>
      <c r="R94" s="248">
        <f>SUM(R89:R93)</f>
        <v>11</v>
      </c>
      <c r="S94" s="310" t="str">
        <f>L94</f>
        <v>und</v>
      </c>
      <c r="T94" s="321"/>
      <c r="U94" s="322"/>
      <c r="V94" s="174">
        <f t="shared" si="7"/>
        <v>2.5</v>
      </c>
    </row>
    <row r="95" spans="1:27" s="40" customFormat="1">
      <c r="A95" s="1106" t="s">
        <v>18</v>
      </c>
      <c r="B95" s="1123"/>
      <c r="C95" s="2182"/>
      <c r="D95" s="2521" t="s">
        <v>259</v>
      </c>
      <c r="E95" s="2522"/>
      <c r="F95" s="2522"/>
      <c r="G95" s="2522"/>
      <c r="H95" s="2522"/>
      <c r="I95" s="2523"/>
      <c r="J95" s="2515">
        <f>R94/J94</f>
        <v>1</v>
      </c>
      <c r="K95" s="2516"/>
      <c r="L95" s="2554"/>
      <c r="M95" s="2556" t="s">
        <v>260</v>
      </c>
      <c r="N95" s="2557"/>
      <c r="O95" s="2557"/>
      <c r="P95" s="2557"/>
      <c r="Q95" s="2558"/>
      <c r="R95" s="248">
        <f>VLOOKUP(A96,'11 - FINANCEIRA'!_xlnm.Print_Area,8,FALSE)</f>
        <v>8.5</v>
      </c>
      <c r="S95" s="249" t="str">
        <f>L94</f>
        <v>und</v>
      </c>
      <c r="T95" s="244"/>
      <c r="U95" s="1124"/>
      <c r="V95" s="174">
        <f t="shared" si="7"/>
        <v>2.5</v>
      </c>
    </row>
    <row r="96" spans="1:27" s="40" customFormat="1">
      <c r="A96" s="1106" t="s">
        <v>19</v>
      </c>
      <c r="B96" s="250"/>
      <c r="C96" s="598"/>
      <c r="D96" s="2539"/>
      <c r="E96" s="2540"/>
      <c r="F96" s="2540"/>
      <c r="G96" s="2540"/>
      <c r="H96" s="2540"/>
      <c r="I96" s="2541"/>
      <c r="J96" s="2517"/>
      <c r="K96" s="2518"/>
      <c r="L96" s="2555"/>
      <c r="M96" s="2556" t="s">
        <v>261</v>
      </c>
      <c r="N96" s="2557"/>
      <c r="O96" s="2557"/>
      <c r="P96" s="2557"/>
      <c r="Q96" s="2558"/>
      <c r="R96" s="248">
        <f>R94-R95</f>
        <v>2.5</v>
      </c>
      <c r="S96" s="249" t="str">
        <f>L94</f>
        <v>und</v>
      </c>
      <c r="T96" s="562"/>
      <c r="U96" s="563"/>
      <c r="V96" s="174">
        <f>R96</f>
        <v>2.5</v>
      </c>
    </row>
    <row r="97" spans="1:27" s="40" customFormat="1" hidden="1">
      <c r="A97" s="1106"/>
      <c r="B97" s="253"/>
      <c r="C97" s="2062"/>
      <c r="D97" s="2063"/>
      <c r="E97" s="2064"/>
      <c r="F97" s="2063"/>
      <c r="G97" s="2063"/>
      <c r="H97" s="2063"/>
      <c r="I97" s="2063"/>
      <c r="J97" s="2065"/>
      <c r="K97" s="2066"/>
      <c r="L97" s="2067"/>
      <c r="M97" s="2068"/>
      <c r="N97" s="2068"/>
      <c r="O97" s="2068"/>
      <c r="P97" s="2068"/>
      <c r="Q97" s="2068"/>
      <c r="R97" s="2069"/>
      <c r="S97" s="2070"/>
      <c r="T97" s="562"/>
      <c r="U97" s="563"/>
      <c r="V97" s="265">
        <f>SUM(V87:V96)</f>
        <v>10</v>
      </c>
    </row>
    <row r="98" spans="1:27" s="176" customFormat="1" ht="30" hidden="1" customHeight="1">
      <c r="A98" s="1106"/>
      <c r="B98" s="2494">
        <f>VLOOKUP(A135,'11 - FINANCEIRA'!_xlnm.Print_Area,2,FALSE)</f>
        <v>20353</v>
      </c>
      <c r="C98" s="2492" t="str">
        <f>VLOOKUP(A135,'11 - FINANCEIRA'!_xlnm.Print_Area,3,FALSE)</f>
        <v>Aluguel Mensal Container Para Refeitorio, Incl. Porta, 2 Janelas, Abert P/ Ar Cond., 2 Pt Iluminação, 2 Tomadas Elét. E 1 Tomada Telef. Isolamento Térmico (Paredes E Teto), Piso Em Comp. Naval Pintado, Cert. Nr18, Incl. Laudo Descontaminação.</v>
      </c>
      <c r="D98" s="2581" t="s">
        <v>263</v>
      </c>
      <c r="E98" s="2582"/>
      <c r="F98" s="2582"/>
      <c r="G98" s="2582"/>
      <c r="H98" s="2582"/>
      <c r="I98" s="2583"/>
      <c r="J98" s="2496" t="s">
        <v>264</v>
      </c>
      <c r="K98" s="2496" t="s">
        <v>244</v>
      </c>
      <c r="L98" s="2496" t="s">
        <v>245</v>
      </c>
      <c r="M98" s="2496" t="s">
        <v>246</v>
      </c>
      <c r="N98" s="2496" t="s">
        <v>247</v>
      </c>
      <c r="O98" s="2496" t="s">
        <v>248</v>
      </c>
      <c r="P98" s="2496" t="s">
        <v>265</v>
      </c>
      <c r="Q98" s="2496" t="s">
        <v>139</v>
      </c>
      <c r="R98" s="2577" t="s">
        <v>139</v>
      </c>
      <c r="S98" s="2496" t="s">
        <v>251</v>
      </c>
      <c r="T98" s="2496" t="s">
        <v>252</v>
      </c>
      <c r="U98" s="2586" t="s">
        <v>253</v>
      </c>
      <c r="V98" s="174">
        <f>V99</f>
        <v>0</v>
      </c>
      <c r="W98" s="175"/>
      <c r="X98" s="175"/>
      <c r="Y98" s="175"/>
      <c r="Z98" s="175"/>
      <c r="AA98" s="175"/>
    </row>
    <row r="99" spans="1:27" s="176" customFormat="1" ht="63.75" hidden="1" customHeight="1">
      <c r="A99" s="1106"/>
      <c r="B99" s="2495"/>
      <c r="C99" s="2493"/>
      <c r="D99" s="2588" t="s">
        <v>254</v>
      </c>
      <c r="E99" s="2589"/>
      <c r="F99" s="2590"/>
      <c r="G99" s="2591" t="s">
        <v>255</v>
      </c>
      <c r="H99" s="2592"/>
      <c r="I99" s="2593"/>
      <c r="J99" s="2497"/>
      <c r="K99" s="2497"/>
      <c r="L99" s="2497"/>
      <c r="M99" s="2497"/>
      <c r="N99" s="2497"/>
      <c r="O99" s="2497"/>
      <c r="P99" s="2497"/>
      <c r="Q99" s="2497"/>
      <c r="R99" s="2578"/>
      <c r="S99" s="2497"/>
      <c r="T99" s="2497"/>
      <c r="U99" s="2587"/>
      <c r="V99" s="174">
        <f>V100</f>
        <v>0</v>
      </c>
      <c r="W99" s="175"/>
      <c r="X99" s="175"/>
      <c r="Y99" s="175"/>
      <c r="Z99" s="175"/>
      <c r="AA99" s="175"/>
    </row>
    <row r="100" spans="1:27" s="176" customFormat="1" hidden="1">
      <c r="A100" s="1106"/>
      <c r="B100" s="336"/>
      <c r="C100" s="337" t="s">
        <v>266</v>
      </c>
      <c r="D100" s="2703">
        <v>44823</v>
      </c>
      <c r="E100" s="2704"/>
      <c r="F100" s="2705"/>
      <c r="G100" s="2706">
        <v>44834</v>
      </c>
      <c r="H100" s="2707"/>
      <c r="I100" s="2708"/>
      <c r="J100" s="275">
        <f>G100-D100+1</f>
        <v>12</v>
      </c>
      <c r="K100" s="275"/>
      <c r="L100" s="275"/>
      <c r="M100" s="275"/>
      <c r="N100" s="275"/>
      <c r="O100" s="275"/>
      <c r="P100" s="338"/>
      <c r="Q100" s="275"/>
      <c r="R100" s="191">
        <f>J100/30</f>
        <v>0.4</v>
      </c>
      <c r="S100" s="275" t="s">
        <v>156</v>
      </c>
      <c r="T100" s="276">
        <v>1</v>
      </c>
      <c r="U100" s="335"/>
      <c r="V100" s="174">
        <f>V101</f>
        <v>0</v>
      </c>
      <c r="W100" s="175"/>
      <c r="X100" s="175"/>
      <c r="Y100" s="175"/>
      <c r="Z100" s="175"/>
      <c r="AA100" s="175"/>
    </row>
    <row r="101" spans="1:27" s="176" customFormat="1" hidden="1">
      <c r="A101" s="1106"/>
      <c r="B101" s="296"/>
      <c r="C101" s="339" t="s">
        <v>267</v>
      </c>
      <c r="D101" s="2533">
        <v>44835</v>
      </c>
      <c r="E101" s="2534"/>
      <c r="F101" s="2535"/>
      <c r="G101" s="2536">
        <v>44865</v>
      </c>
      <c r="H101" s="2537"/>
      <c r="I101" s="2538"/>
      <c r="J101" s="192">
        <v>31</v>
      </c>
      <c r="K101" s="297"/>
      <c r="L101" s="192"/>
      <c r="M101" s="299"/>
      <c r="N101" s="298"/>
      <c r="O101" s="297"/>
      <c r="P101" s="303"/>
      <c r="Q101" s="299"/>
      <c r="R101" s="304">
        <v>1</v>
      </c>
      <c r="S101" s="340" t="s">
        <v>156</v>
      </c>
      <c r="T101" s="193">
        <v>3</v>
      </c>
      <c r="U101" s="341"/>
      <c r="V101" s="174">
        <f>V102</f>
        <v>0</v>
      </c>
      <c r="W101" s="175"/>
      <c r="X101" s="175"/>
      <c r="Y101" s="175"/>
      <c r="Z101" s="175"/>
      <c r="AA101" s="175"/>
    </row>
    <row r="102" spans="1:27" s="222" customFormat="1" hidden="1">
      <c r="A102" s="1106"/>
      <c r="B102" s="342"/>
      <c r="C102" s="343" t="s">
        <v>268</v>
      </c>
      <c r="D102" s="2533">
        <v>44866</v>
      </c>
      <c r="E102" s="2534"/>
      <c r="F102" s="2535"/>
      <c r="G102" s="2533">
        <v>44895</v>
      </c>
      <c r="H102" s="2534"/>
      <c r="I102" s="2535"/>
      <c r="J102" s="340">
        <v>30</v>
      </c>
      <c r="K102" s="344"/>
      <c r="L102" s="344"/>
      <c r="M102" s="344"/>
      <c r="N102" s="344"/>
      <c r="O102" s="345"/>
      <c r="P102" s="344"/>
      <c r="Q102" s="345"/>
      <c r="R102" s="346">
        <v>1</v>
      </c>
      <c r="S102" s="192" t="s">
        <v>156</v>
      </c>
      <c r="T102" s="347">
        <v>3</v>
      </c>
      <c r="U102" s="341"/>
      <c r="V102" s="174">
        <f>V117</f>
        <v>0</v>
      </c>
    </row>
    <row r="103" spans="1:27" s="222" customFormat="1" hidden="1">
      <c r="A103" s="1106"/>
      <c r="B103" s="348"/>
      <c r="C103" s="343" t="s">
        <v>269</v>
      </c>
      <c r="D103" s="2533">
        <v>44896</v>
      </c>
      <c r="E103" s="2534"/>
      <c r="F103" s="2535"/>
      <c r="G103" s="2533">
        <v>44926</v>
      </c>
      <c r="H103" s="2534"/>
      <c r="I103" s="2535"/>
      <c r="J103" s="340">
        <v>31</v>
      </c>
      <c r="K103" s="349"/>
      <c r="L103" s="350"/>
      <c r="M103" s="351"/>
      <c r="N103" s="352"/>
      <c r="O103" s="353"/>
      <c r="P103" s="350"/>
      <c r="Q103" s="354"/>
      <c r="R103" s="346">
        <v>1</v>
      </c>
      <c r="S103" s="340" t="s">
        <v>156</v>
      </c>
      <c r="T103" s="355">
        <v>4</v>
      </c>
      <c r="U103" s="341"/>
      <c r="V103" s="174">
        <f>V117</f>
        <v>0</v>
      </c>
    </row>
    <row r="104" spans="1:27" s="222" customFormat="1" hidden="1">
      <c r="A104" s="1106"/>
      <c r="B104" s="348"/>
      <c r="C104" s="343" t="s">
        <v>270</v>
      </c>
      <c r="D104" s="2533">
        <v>44927</v>
      </c>
      <c r="E104" s="2534"/>
      <c r="F104" s="2535"/>
      <c r="G104" s="2533">
        <v>44957</v>
      </c>
      <c r="H104" s="2534"/>
      <c r="I104" s="2535"/>
      <c r="J104" s="340">
        <v>31</v>
      </c>
      <c r="K104" s="349"/>
      <c r="L104" s="350"/>
      <c r="M104" s="351"/>
      <c r="N104" s="352"/>
      <c r="O104" s="353"/>
      <c r="P104" s="350"/>
      <c r="Q104" s="354"/>
      <c r="R104" s="356">
        <v>1</v>
      </c>
      <c r="S104" s="340" t="s">
        <v>156</v>
      </c>
      <c r="T104" s="355">
        <v>5</v>
      </c>
      <c r="U104" s="341"/>
      <c r="V104" s="174">
        <f>V117</f>
        <v>0</v>
      </c>
    </row>
    <row r="105" spans="1:27" s="175" customFormat="1" hidden="1">
      <c r="A105" s="1110"/>
      <c r="B105" s="348"/>
      <c r="C105" s="343" t="s">
        <v>271</v>
      </c>
      <c r="D105" s="2533">
        <v>44958</v>
      </c>
      <c r="E105" s="2534"/>
      <c r="F105" s="2535"/>
      <c r="G105" s="2533">
        <v>44985</v>
      </c>
      <c r="H105" s="2534"/>
      <c r="I105" s="2535"/>
      <c r="J105" s="357">
        <v>28</v>
      </c>
      <c r="K105" s="349"/>
      <c r="L105" s="350"/>
      <c r="M105" s="351"/>
      <c r="N105" s="352"/>
      <c r="O105" s="353"/>
      <c r="P105" s="350"/>
      <c r="Q105" s="354"/>
      <c r="R105" s="356">
        <v>1</v>
      </c>
      <c r="S105" s="357" t="s">
        <v>156</v>
      </c>
      <c r="T105" s="355">
        <v>6</v>
      </c>
      <c r="U105" s="341"/>
      <c r="V105" s="306">
        <f>V117</f>
        <v>0</v>
      </c>
    </row>
    <row r="106" spans="1:27" s="175" customFormat="1" hidden="1">
      <c r="A106" s="1110"/>
      <c r="B106" s="348"/>
      <c r="C106" s="339" t="s">
        <v>272</v>
      </c>
      <c r="D106" s="2533">
        <v>44986</v>
      </c>
      <c r="E106" s="2534"/>
      <c r="F106" s="2535"/>
      <c r="G106" s="2533">
        <v>45016</v>
      </c>
      <c r="H106" s="2534"/>
      <c r="I106" s="2535"/>
      <c r="J106" s="340">
        <v>31</v>
      </c>
      <c r="K106" s="349"/>
      <c r="L106" s="350"/>
      <c r="M106" s="351"/>
      <c r="N106" s="352"/>
      <c r="O106" s="353"/>
      <c r="P106" s="350"/>
      <c r="Q106" s="354"/>
      <c r="R106" s="356">
        <v>0.6</v>
      </c>
      <c r="S106" s="357" t="s">
        <v>156</v>
      </c>
      <c r="T106" s="355">
        <v>7</v>
      </c>
      <c r="U106" s="341"/>
      <c r="V106" s="306">
        <f>V117</f>
        <v>0</v>
      </c>
    </row>
    <row r="107" spans="1:27" s="175" customFormat="1" hidden="1">
      <c r="A107" s="1110"/>
      <c r="B107" s="348"/>
      <c r="C107" s="339" t="s">
        <v>527</v>
      </c>
      <c r="D107" s="2533">
        <v>44652</v>
      </c>
      <c r="E107" s="2534"/>
      <c r="F107" s="2535"/>
      <c r="G107" s="2536">
        <v>45034</v>
      </c>
      <c r="H107" s="2537"/>
      <c r="I107" s="2538"/>
      <c r="J107" s="340">
        <v>18</v>
      </c>
      <c r="K107" s="340"/>
      <c r="L107" s="340"/>
      <c r="M107" s="340"/>
      <c r="N107" s="340"/>
      <c r="O107" s="340"/>
      <c r="P107" s="461"/>
      <c r="Q107" s="340"/>
      <c r="R107" s="462">
        <v>0.4</v>
      </c>
      <c r="S107" s="340" t="s">
        <v>156</v>
      </c>
      <c r="T107" s="347">
        <v>12</v>
      </c>
      <c r="U107" s="335" t="s">
        <v>491</v>
      </c>
      <c r="V107" s="306"/>
    </row>
    <row r="108" spans="1:27" s="175" customFormat="1" hidden="1">
      <c r="A108" s="1110"/>
      <c r="B108" s="348"/>
      <c r="C108" s="339" t="s">
        <v>486</v>
      </c>
      <c r="D108" s="2533">
        <v>44670</v>
      </c>
      <c r="E108" s="2534"/>
      <c r="F108" s="2535"/>
      <c r="G108" s="2536">
        <v>45046</v>
      </c>
      <c r="H108" s="2537"/>
      <c r="I108" s="2538"/>
      <c r="J108" s="340">
        <v>30</v>
      </c>
      <c r="K108" s="340"/>
      <c r="L108" s="340"/>
      <c r="M108" s="340"/>
      <c r="N108" s="340"/>
      <c r="O108" s="340"/>
      <c r="P108" s="461"/>
      <c r="Q108" s="340"/>
      <c r="R108" s="462">
        <f>J108/30</f>
        <v>1</v>
      </c>
      <c r="S108" s="340" t="s">
        <v>156</v>
      </c>
      <c r="T108" s="347">
        <v>12</v>
      </c>
      <c r="U108" s="335" t="s">
        <v>491</v>
      </c>
      <c r="V108" s="306"/>
    </row>
    <row r="109" spans="1:27" s="175" customFormat="1" hidden="1">
      <c r="A109" s="1110"/>
      <c r="B109" s="348"/>
      <c r="C109" s="339" t="s">
        <v>487</v>
      </c>
      <c r="D109" s="2533">
        <v>44682</v>
      </c>
      <c r="E109" s="2534"/>
      <c r="F109" s="2535"/>
      <c r="G109" s="2536">
        <v>45077</v>
      </c>
      <c r="H109" s="2537"/>
      <c r="I109" s="2538"/>
      <c r="J109" s="192">
        <v>31</v>
      </c>
      <c r="K109" s="560"/>
      <c r="L109" s="340"/>
      <c r="M109" s="463"/>
      <c r="N109" s="464"/>
      <c r="O109" s="560"/>
      <c r="P109" s="461"/>
      <c r="Q109" s="463"/>
      <c r="R109" s="462">
        <v>1</v>
      </c>
      <c r="S109" s="340" t="s">
        <v>156</v>
      </c>
      <c r="T109" s="347">
        <v>12</v>
      </c>
      <c r="U109" s="335" t="s">
        <v>491</v>
      </c>
      <c r="V109" s="306"/>
    </row>
    <row r="110" spans="1:27" s="175" customFormat="1" hidden="1">
      <c r="A110" s="1110"/>
      <c r="B110" s="348"/>
      <c r="C110" s="343" t="s">
        <v>488</v>
      </c>
      <c r="D110" s="2533">
        <v>44713</v>
      </c>
      <c r="E110" s="2534"/>
      <c r="F110" s="2535"/>
      <c r="G110" s="2533">
        <v>45107</v>
      </c>
      <c r="H110" s="2534"/>
      <c r="I110" s="2535"/>
      <c r="J110" s="340">
        <v>30</v>
      </c>
      <c r="K110" s="344"/>
      <c r="L110" s="344"/>
      <c r="M110" s="344"/>
      <c r="N110" s="344"/>
      <c r="O110" s="345"/>
      <c r="P110" s="344"/>
      <c r="Q110" s="345"/>
      <c r="R110" s="346">
        <v>1</v>
      </c>
      <c r="S110" s="340" t="s">
        <v>156</v>
      </c>
      <c r="T110" s="347">
        <v>12</v>
      </c>
      <c r="U110" s="341" t="s">
        <v>491</v>
      </c>
      <c r="V110" s="306"/>
    </row>
    <row r="111" spans="1:27" s="175" customFormat="1" hidden="1">
      <c r="A111" s="1110"/>
      <c r="B111" s="348"/>
      <c r="C111" s="343" t="s">
        <v>489</v>
      </c>
      <c r="D111" s="2533">
        <v>44743</v>
      </c>
      <c r="E111" s="2534"/>
      <c r="F111" s="2535"/>
      <c r="G111" s="2533">
        <v>45138</v>
      </c>
      <c r="H111" s="2534"/>
      <c r="I111" s="2535"/>
      <c r="J111" s="340">
        <v>31</v>
      </c>
      <c r="K111" s="349"/>
      <c r="L111" s="350"/>
      <c r="M111" s="351"/>
      <c r="N111" s="352"/>
      <c r="O111" s="353"/>
      <c r="P111" s="350"/>
      <c r="Q111" s="354"/>
      <c r="R111" s="346">
        <v>1</v>
      </c>
      <c r="S111" s="340" t="s">
        <v>156</v>
      </c>
      <c r="T111" s="347">
        <v>12</v>
      </c>
      <c r="U111" s="341" t="s">
        <v>491</v>
      </c>
      <c r="V111" s="306"/>
    </row>
    <row r="112" spans="1:27" s="175" customFormat="1" hidden="1">
      <c r="A112" s="1110"/>
      <c r="B112" s="348"/>
      <c r="C112" s="343" t="s">
        <v>490</v>
      </c>
      <c r="D112" s="2533">
        <v>45139</v>
      </c>
      <c r="E112" s="2534"/>
      <c r="F112" s="2535"/>
      <c r="G112" s="2533">
        <v>45169</v>
      </c>
      <c r="H112" s="2534"/>
      <c r="I112" s="2535"/>
      <c r="J112" s="340">
        <v>31</v>
      </c>
      <c r="K112" s="349"/>
      <c r="L112" s="350"/>
      <c r="M112" s="351"/>
      <c r="N112" s="352"/>
      <c r="O112" s="353"/>
      <c r="P112" s="350"/>
      <c r="Q112" s="354"/>
      <c r="R112" s="356">
        <v>1</v>
      </c>
      <c r="S112" s="340" t="s">
        <v>156</v>
      </c>
      <c r="T112" s="347">
        <v>12</v>
      </c>
      <c r="U112" s="341" t="s">
        <v>491</v>
      </c>
      <c r="V112" s="306"/>
    </row>
    <row r="113" spans="1:22" s="175" customFormat="1" hidden="1">
      <c r="A113" s="1110"/>
      <c r="B113" s="348"/>
      <c r="C113" s="343" t="s">
        <v>559</v>
      </c>
      <c r="D113" s="2533">
        <v>45170</v>
      </c>
      <c r="E113" s="2534"/>
      <c r="F113" s="2535"/>
      <c r="G113" s="2533">
        <v>45199</v>
      </c>
      <c r="H113" s="2534"/>
      <c r="I113" s="2535"/>
      <c r="J113" s="340">
        <v>30</v>
      </c>
      <c r="K113" s="349"/>
      <c r="L113" s="350"/>
      <c r="M113" s="351"/>
      <c r="N113" s="352"/>
      <c r="O113" s="353"/>
      <c r="P113" s="350"/>
      <c r="Q113" s="354"/>
      <c r="R113" s="356">
        <v>1</v>
      </c>
      <c r="S113" s="340" t="s">
        <v>156</v>
      </c>
      <c r="T113" s="347">
        <v>13</v>
      </c>
      <c r="U113" s="341"/>
      <c r="V113" s="306"/>
    </row>
    <row r="114" spans="1:22" s="175" customFormat="1" hidden="1">
      <c r="A114" s="1110"/>
      <c r="B114" s="348"/>
      <c r="C114" s="343" t="s">
        <v>587</v>
      </c>
      <c r="D114" s="2533">
        <v>45200</v>
      </c>
      <c r="E114" s="2534"/>
      <c r="F114" s="2535"/>
      <c r="G114" s="2533">
        <v>45229</v>
      </c>
      <c r="H114" s="2534"/>
      <c r="I114" s="2535"/>
      <c r="J114" s="340">
        <v>31</v>
      </c>
      <c r="K114" s="349"/>
      <c r="L114" s="350"/>
      <c r="M114" s="351"/>
      <c r="N114" s="352"/>
      <c r="O114" s="353"/>
      <c r="P114" s="350"/>
      <c r="Q114" s="354"/>
      <c r="R114" s="356">
        <v>1</v>
      </c>
      <c r="S114" s="340" t="s">
        <v>156</v>
      </c>
      <c r="T114" s="347">
        <v>14</v>
      </c>
      <c r="U114" s="341"/>
      <c r="V114" s="306"/>
    </row>
    <row r="115" spans="1:22" s="175" customFormat="1" hidden="1">
      <c r="A115" s="1110"/>
      <c r="B115" s="348"/>
      <c r="C115" s="343" t="s">
        <v>598</v>
      </c>
      <c r="D115" s="2533">
        <v>45231</v>
      </c>
      <c r="E115" s="2534"/>
      <c r="F115" s="2535"/>
      <c r="G115" s="2533">
        <v>45260</v>
      </c>
      <c r="H115" s="2534"/>
      <c r="I115" s="2535"/>
      <c r="J115" s="340">
        <v>31</v>
      </c>
      <c r="K115" s="349"/>
      <c r="L115" s="350"/>
      <c r="M115" s="351"/>
      <c r="N115" s="352"/>
      <c r="O115" s="353"/>
      <c r="P115" s="350"/>
      <c r="Q115" s="354"/>
      <c r="R115" s="356">
        <v>1</v>
      </c>
      <c r="S115" s="340" t="s">
        <v>156</v>
      </c>
      <c r="T115" s="347">
        <v>15</v>
      </c>
      <c r="U115" s="341"/>
      <c r="V115" s="306"/>
    </row>
    <row r="116" spans="1:22" s="175" customFormat="1" hidden="1">
      <c r="A116" s="1110"/>
      <c r="B116" s="348"/>
      <c r="C116" s="343" t="s">
        <v>647</v>
      </c>
      <c r="D116" s="2533">
        <v>45261</v>
      </c>
      <c r="E116" s="2534"/>
      <c r="F116" s="2535"/>
      <c r="G116" s="2533">
        <v>45291</v>
      </c>
      <c r="H116" s="2534"/>
      <c r="I116" s="2535"/>
      <c r="J116" s="340">
        <v>31</v>
      </c>
      <c r="K116" s="349"/>
      <c r="L116" s="350"/>
      <c r="M116" s="351"/>
      <c r="N116" s="352"/>
      <c r="O116" s="353"/>
      <c r="P116" s="350"/>
      <c r="Q116" s="354"/>
      <c r="R116" s="356">
        <v>1</v>
      </c>
      <c r="S116" s="340" t="s">
        <v>156</v>
      </c>
      <c r="T116" s="347">
        <v>16</v>
      </c>
      <c r="U116" s="408"/>
      <c r="V116" s="306"/>
    </row>
    <row r="117" spans="1:22" s="175" customFormat="1" hidden="1">
      <c r="A117" s="1110"/>
      <c r="B117" s="342"/>
      <c r="C117" s="343" t="s">
        <v>661</v>
      </c>
      <c r="D117" s="2533">
        <v>45292</v>
      </c>
      <c r="E117" s="2534"/>
      <c r="F117" s="2535"/>
      <c r="G117" s="2533">
        <v>45322</v>
      </c>
      <c r="H117" s="2534"/>
      <c r="I117" s="2535"/>
      <c r="J117" s="340">
        <v>31</v>
      </c>
      <c r="K117" s="504"/>
      <c r="L117" s="344"/>
      <c r="M117" s="505"/>
      <c r="N117" s="506"/>
      <c r="O117" s="406"/>
      <c r="P117" s="344"/>
      <c r="Q117" s="507"/>
      <c r="R117" s="346">
        <v>1</v>
      </c>
      <c r="S117" s="340" t="s">
        <v>156</v>
      </c>
      <c r="T117" s="347">
        <v>17</v>
      </c>
      <c r="U117" s="341"/>
      <c r="V117" s="306"/>
    </row>
    <row r="118" spans="1:22" s="175" customFormat="1" hidden="1">
      <c r="A118" s="1110"/>
      <c r="B118" s="342"/>
      <c r="C118" s="343" t="s">
        <v>701</v>
      </c>
      <c r="D118" s="2533">
        <v>45323</v>
      </c>
      <c r="E118" s="2534"/>
      <c r="F118" s="2535"/>
      <c r="G118" s="2533">
        <v>45351</v>
      </c>
      <c r="H118" s="2534"/>
      <c r="I118" s="2535"/>
      <c r="J118" s="340">
        <v>29</v>
      </c>
      <c r="K118" s="504"/>
      <c r="L118" s="344"/>
      <c r="M118" s="505"/>
      <c r="N118" s="506"/>
      <c r="O118" s="406"/>
      <c r="P118" s="344"/>
      <c r="Q118" s="507"/>
      <c r="R118" s="346">
        <v>1</v>
      </c>
      <c r="S118" s="340" t="s">
        <v>156</v>
      </c>
      <c r="T118" s="347">
        <v>18</v>
      </c>
      <c r="U118" s="341"/>
      <c r="V118" s="306"/>
    </row>
    <row r="119" spans="1:22" s="175" customFormat="1" hidden="1">
      <c r="A119" s="1110"/>
      <c r="B119" s="342"/>
      <c r="C119" s="343" t="s">
        <v>723</v>
      </c>
      <c r="D119" s="2533">
        <v>45352</v>
      </c>
      <c r="E119" s="2534"/>
      <c r="F119" s="2535"/>
      <c r="G119" s="2533">
        <v>45382</v>
      </c>
      <c r="H119" s="2534"/>
      <c r="I119" s="2535"/>
      <c r="J119" s="340">
        <v>31</v>
      </c>
      <c r="K119" s="504"/>
      <c r="L119" s="344"/>
      <c r="M119" s="505"/>
      <c r="N119" s="506"/>
      <c r="O119" s="406"/>
      <c r="P119" s="344"/>
      <c r="Q119" s="507"/>
      <c r="R119" s="346">
        <v>1</v>
      </c>
      <c r="S119" s="340" t="s">
        <v>156</v>
      </c>
      <c r="T119" s="347">
        <v>19</v>
      </c>
      <c r="U119" s="341"/>
      <c r="V119" s="306"/>
    </row>
    <row r="120" spans="1:22" s="175" customFormat="1" hidden="1">
      <c r="A120" s="1110"/>
      <c r="B120" s="342"/>
      <c r="C120" s="343" t="s">
        <v>735</v>
      </c>
      <c r="D120" s="2533">
        <v>45383</v>
      </c>
      <c r="E120" s="2534"/>
      <c r="F120" s="2535"/>
      <c r="G120" s="2533" t="s">
        <v>736</v>
      </c>
      <c r="H120" s="2534"/>
      <c r="I120" s="2535"/>
      <c r="J120" s="340">
        <v>30</v>
      </c>
      <c r="K120" s="504"/>
      <c r="L120" s="344"/>
      <c r="M120" s="505"/>
      <c r="N120" s="506"/>
      <c r="O120" s="406"/>
      <c r="P120" s="344"/>
      <c r="Q120" s="507"/>
      <c r="R120" s="346">
        <v>1</v>
      </c>
      <c r="S120" s="340" t="s">
        <v>156</v>
      </c>
      <c r="T120" s="347">
        <v>22</v>
      </c>
      <c r="U120" s="1137"/>
      <c r="V120" s="306"/>
    </row>
    <row r="121" spans="1:22" s="175" customFormat="1" hidden="1">
      <c r="A121" s="1110"/>
      <c r="B121" s="342"/>
      <c r="C121" s="343" t="s">
        <v>769</v>
      </c>
      <c r="D121" s="2533">
        <v>45413</v>
      </c>
      <c r="E121" s="2534"/>
      <c r="F121" s="2535"/>
      <c r="G121" s="2533">
        <v>45443</v>
      </c>
      <c r="H121" s="2534"/>
      <c r="I121" s="2535"/>
      <c r="J121" s="340">
        <v>31</v>
      </c>
      <c r="K121" s="504"/>
      <c r="L121" s="344"/>
      <c r="M121" s="505"/>
      <c r="N121" s="506"/>
      <c r="O121" s="406"/>
      <c r="P121" s="344"/>
      <c r="Q121" s="507"/>
      <c r="R121" s="346">
        <v>1</v>
      </c>
      <c r="S121" s="340" t="s">
        <v>156</v>
      </c>
      <c r="T121" s="347">
        <v>22</v>
      </c>
      <c r="U121" s="1137"/>
      <c r="V121" s="306"/>
    </row>
    <row r="122" spans="1:22" s="175" customFormat="1" hidden="1">
      <c r="A122" s="1110"/>
      <c r="B122" s="342"/>
      <c r="C122" s="339" t="s">
        <v>848</v>
      </c>
      <c r="D122" s="2533">
        <v>45444</v>
      </c>
      <c r="E122" s="2534"/>
      <c r="F122" s="2535"/>
      <c r="G122" s="2533" t="s">
        <v>850</v>
      </c>
      <c r="H122" s="2534"/>
      <c r="I122" s="2535"/>
      <c r="J122" s="560">
        <v>30</v>
      </c>
      <c r="K122" s="504"/>
      <c r="L122" s="505"/>
      <c r="M122" s="505"/>
      <c r="N122" s="506"/>
      <c r="O122" s="406"/>
      <c r="P122" s="344"/>
      <c r="Q122" s="507"/>
      <c r="R122" s="346">
        <v>1</v>
      </c>
      <c r="S122" s="340" t="s">
        <v>156</v>
      </c>
      <c r="T122" s="1120">
        <v>22</v>
      </c>
      <c r="U122" s="1137"/>
      <c r="V122" s="306"/>
    </row>
    <row r="123" spans="1:22" s="175" customFormat="1" hidden="1">
      <c r="A123" s="1110"/>
      <c r="B123" s="342"/>
      <c r="C123" s="339" t="s">
        <v>849</v>
      </c>
      <c r="D123" s="2533">
        <v>45474</v>
      </c>
      <c r="E123" s="2534"/>
      <c r="F123" s="2535"/>
      <c r="G123" s="2533">
        <v>45504</v>
      </c>
      <c r="H123" s="2534"/>
      <c r="I123" s="2535"/>
      <c r="J123" s="560">
        <v>31</v>
      </c>
      <c r="K123" s="504"/>
      <c r="L123" s="505"/>
      <c r="M123" s="505"/>
      <c r="N123" s="506"/>
      <c r="O123" s="406"/>
      <c r="P123" s="344"/>
      <c r="Q123" s="507"/>
      <c r="R123" s="346">
        <v>1</v>
      </c>
      <c r="S123" s="340" t="s">
        <v>156</v>
      </c>
      <c r="T123" s="1120">
        <v>22</v>
      </c>
      <c r="U123" s="1137"/>
      <c r="V123" s="306"/>
    </row>
    <row r="124" spans="1:22" s="175" customFormat="1" hidden="1">
      <c r="A124" s="1110"/>
      <c r="B124" s="342"/>
      <c r="C124" s="339" t="s">
        <v>917</v>
      </c>
      <c r="D124" s="2533">
        <v>45505</v>
      </c>
      <c r="E124" s="2534"/>
      <c r="F124" s="2535"/>
      <c r="G124" s="2533">
        <v>45534</v>
      </c>
      <c r="H124" s="2534"/>
      <c r="I124" s="2535"/>
      <c r="J124" s="560">
        <v>30</v>
      </c>
      <c r="K124" s="504"/>
      <c r="L124" s="505"/>
      <c r="M124" s="505"/>
      <c r="N124" s="506"/>
      <c r="O124" s="406"/>
      <c r="P124" s="344"/>
      <c r="Q124" s="507"/>
      <c r="R124" s="346">
        <v>1</v>
      </c>
      <c r="S124" s="340" t="s">
        <v>156</v>
      </c>
      <c r="T124" s="1120">
        <v>23</v>
      </c>
      <c r="U124" s="1137"/>
      <c r="V124" s="306"/>
    </row>
    <row r="125" spans="1:22" s="175" customFormat="1" hidden="1">
      <c r="A125" s="1110"/>
      <c r="B125" s="342"/>
      <c r="C125" s="339" t="s">
        <v>951</v>
      </c>
      <c r="D125" s="2533">
        <v>45536</v>
      </c>
      <c r="E125" s="2534"/>
      <c r="F125" s="2535"/>
      <c r="G125" s="2533">
        <v>45554</v>
      </c>
      <c r="H125" s="2534"/>
      <c r="I125" s="2535"/>
      <c r="J125" s="560">
        <v>19</v>
      </c>
      <c r="K125" s="504"/>
      <c r="L125" s="505"/>
      <c r="M125" s="505"/>
      <c r="N125" s="506"/>
      <c r="O125" s="406"/>
      <c r="P125" s="344"/>
      <c r="Q125" s="507"/>
      <c r="R125" s="346">
        <v>0.6</v>
      </c>
      <c r="S125" s="340" t="s">
        <v>156</v>
      </c>
      <c r="T125" s="1120">
        <v>24</v>
      </c>
      <c r="U125" s="1137"/>
      <c r="V125" s="306"/>
    </row>
    <row r="126" spans="1:22" s="175" customFormat="1" hidden="1">
      <c r="A126" s="1110"/>
      <c r="B126" s="342"/>
      <c r="C126" s="339" t="s">
        <v>951</v>
      </c>
      <c r="D126" s="2533">
        <v>45554</v>
      </c>
      <c r="E126" s="2534"/>
      <c r="F126" s="2535"/>
      <c r="G126" s="2533" t="s">
        <v>953</v>
      </c>
      <c r="H126" s="2534"/>
      <c r="I126" s="2535"/>
      <c r="J126" s="560">
        <v>12</v>
      </c>
      <c r="K126" s="504"/>
      <c r="L126" s="505"/>
      <c r="M126" s="505"/>
      <c r="N126" s="506"/>
      <c r="O126" s="406"/>
      <c r="P126" s="344"/>
      <c r="Q126" s="507"/>
      <c r="R126" s="346">
        <v>0.4</v>
      </c>
      <c r="S126" s="340" t="s">
        <v>156</v>
      </c>
      <c r="T126" s="1120">
        <v>25</v>
      </c>
      <c r="U126" s="1137"/>
      <c r="V126" s="306"/>
    </row>
    <row r="127" spans="1:22" s="175" customFormat="1" hidden="1">
      <c r="A127" s="1110"/>
      <c r="B127" s="342"/>
      <c r="C127" s="339" t="s">
        <v>997</v>
      </c>
      <c r="D127" s="2533">
        <v>45566</v>
      </c>
      <c r="E127" s="2534"/>
      <c r="F127" s="2535"/>
      <c r="G127" s="2533">
        <v>45596</v>
      </c>
      <c r="H127" s="2534"/>
      <c r="I127" s="2535"/>
      <c r="J127" s="560">
        <v>31</v>
      </c>
      <c r="K127" s="504"/>
      <c r="L127" s="505"/>
      <c r="M127" s="505"/>
      <c r="N127" s="506"/>
      <c r="O127" s="406"/>
      <c r="P127" s="344"/>
      <c r="Q127" s="507"/>
      <c r="R127" s="346">
        <v>1</v>
      </c>
      <c r="S127" s="340" t="s">
        <v>156</v>
      </c>
      <c r="T127" s="1120">
        <v>25</v>
      </c>
      <c r="U127" s="1137"/>
      <c r="V127" s="306"/>
    </row>
    <row r="128" spans="1:22" s="175" customFormat="1" hidden="1">
      <c r="A128" s="1110"/>
      <c r="B128" s="342"/>
      <c r="C128" s="339" t="s">
        <v>998</v>
      </c>
      <c r="D128" s="2533">
        <v>45597</v>
      </c>
      <c r="E128" s="2534"/>
      <c r="F128" s="2535"/>
      <c r="G128" s="2533">
        <v>45626</v>
      </c>
      <c r="H128" s="2534"/>
      <c r="I128" s="2535"/>
      <c r="J128" s="560">
        <v>30</v>
      </c>
      <c r="K128" s="504"/>
      <c r="L128" s="505"/>
      <c r="M128" s="505"/>
      <c r="N128" s="506"/>
      <c r="O128" s="406"/>
      <c r="P128" s="344"/>
      <c r="Q128" s="507"/>
      <c r="R128" s="346">
        <v>1</v>
      </c>
      <c r="S128" s="340" t="s">
        <v>156</v>
      </c>
      <c r="T128" s="1120">
        <v>25</v>
      </c>
      <c r="U128" s="1137"/>
      <c r="V128" s="306"/>
    </row>
    <row r="129" spans="1:27" s="175" customFormat="1" hidden="1">
      <c r="A129" s="1110"/>
      <c r="B129" s="342"/>
      <c r="C129" s="339" t="s">
        <v>999</v>
      </c>
      <c r="D129" s="2533">
        <v>45627</v>
      </c>
      <c r="E129" s="2534"/>
      <c r="F129" s="2535"/>
      <c r="G129" s="2533">
        <v>45657</v>
      </c>
      <c r="H129" s="2534"/>
      <c r="I129" s="2535"/>
      <c r="J129" s="560">
        <v>31</v>
      </c>
      <c r="K129" s="504"/>
      <c r="L129" s="505"/>
      <c r="M129" s="505"/>
      <c r="N129" s="506"/>
      <c r="O129" s="406"/>
      <c r="P129" s="344"/>
      <c r="Q129" s="507"/>
      <c r="R129" s="346">
        <v>1</v>
      </c>
      <c r="S129" s="340" t="s">
        <v>156</v>
      </c>
      <c r="T129" s="1120">
        <v>25</v>
      </c>
      <c r="U129" s="1137"/>
      <c r="V129" s="306"/>
    </row>
    <row r="130" spans="1:27" s="175" customFormat="1" hidden="1">
      <c r="A130" s="1110"/>
      <c r="B130" s="342"/>
      <c r="C130" s="339" t="s">
        <v>1000</v>
      </c>
      <c r="D130" s="2533">
        <v>45658</v>
      </c>
      <c r="E130" s="2534"/>
      <c r="F130" s="2535"/>
      <c r="G130" s="2533">
        <v>45688</v>
      </c>
      <c r="H130" s="2534"/>
      <c r="I130" s="2535"/>
      <c r="J130" s="560">
        <v>31</v>
      </c>
      <c r="K130" s="504"/>
      <c r="L130" s="505"/>
      <c r="M130" s="505"/>
      <c r="N130" s="506"/>
      <c r="O130" s="406"/>
      <c r="P130" s="344"/>
      <c r="Q130" s="507"/>
      <c r="R130" s="346">
        <v>1</v>
      </c>
      <c r="S130" s="340" t="s">
        <v>156</v>
      </c>
      <c r="T130" s="1120">
        <v>25</v>
      </c>
      <c r="U130" s="1137"/>
      <c r="V130" s="306"/>
    </row>
    <row r="131" spans="1:27" s="175" customFormat="1" hidden="1">
      <c r="A131" s="1110"/>
      <c r="B131" s="342"/>
      <c r="C131" s="339" t="s">
        <v>1126</v>
      </c>
      <c r="D131" s="2533">
        <v>45689</v>
      </c>
      <c r="E131" s="2534"/>
      <c r="F131" s="2535"/>
      <c r="G131" s="2533">
        <v>45716</v>
      </c>
      <c r="H131" s="2534"/>
      <c r="I131" s="2535"/>
      <c r="J131" s="560">
        <v>28</v>
      </c>
      <c r="K131" s="504"/>
      <c r="L131" s="505"/>
      <c r="M131" s="505"/>
      <c r="N131" s="506"/>
      <c r="O131" s="406"/>
      <c r="P131" s="344"/>
      <c r="Q131" s="507"/>
      <c r="R131" s="346">
        <v>1</v>
      </c>
      <c r="S131" s="340" t="s">
        <v>156</v>
      </c>
      <c r="T131" s="1120">
        <v>26</v>
      </c>
      <c r="U131" s="1137"/>
      <c r="V131" s="306"/>
    </row>
    <row r="132" spans="1:27" s="688" customFormat="1" hidden="1">
      <c r="A132" s="1771"/>
      <c r="B132" s="1456"/>
      <c r="C132" s="547" t="s">
        <v>1127</v>
      </c>
      <c r="D132" s="2733">
        <v>45717</v>
      </c>
      <c r="E132" s="2734"/>
      <c r="F132" s="2735"/>
      <c r="G132" s="2733">
        <v>45747</v>
      </c>
      <c r="H132" s="2734"/>
      <c r="I132" s="2735"/>
      <c r="J132" s="1187">
        <v>31</v>
      </c>
      <c r="K132" s="907"/>
      <c r="L132" s="627"/>
      <c r="M132" s="627"/>
      <c r="N132" s="1605"/>
      <c r="O132" s="1606"/>
      <c r="P132" s="1607"/>
      <c r="Q132" s="1608"/>
      <c r="R132" s="1609">
        <v>0.6</v>
      </c>
      <c r="S132" s="1160" t="s">
        <v>156</v>
      </c>
      <c r="T132" s="1610">
        <v>27</v>
      </c>
      <c r="U132" s="1611"/>
      <c r="V132" s="713"/>
    </row>
    <row r="133" spans="1:27" s="40" customFormat="1" ht="15.75" hidden="1" customHeight="1">
      <c r="A133" s="1106"/>
      <c r="B133" s="645"/>
      <c r="C133" s="1612"/>
      <c r="D133" s="2548" t="s">
        <v>257</v>
      </c>
      <c r="E133" s="2549"/>
      <c r="F133" s="2549"/>
      <c r="G133" s="2549"/>
      <c r="H133" s="2549"/>
      <c r="I133" s="2550"/>
      <c r="J133" s="2490">
        <f>VLOOKUP(A135,'11 - FINANCEIRA'!$A$16:$AE$156,30,FALSE)</f>
        <v>30</v>
      </c>
      <c r="K133" s="2491"/>
      <c r="L133" s="590" t="str">
        <f>VLOOKUP(A135,'11 - FINANCEIRA'!_xlnm.Print_Area,4,FALSE)</f>
        <v>mês</v>
      </c>
      <c r="M133" s="2561" t="s">
        <v>258</v>
      </c>
      <c r="N133" s="2562"/>
      <c r="O133" s="2562"/>
      <c r="P133" s="2562"/>
      <c r="Q133" s="2563"/>
      <c r="R133" s="375">
        <f>SUM(R100:R132)</f>
        <v>30</v>
      </c>
      <c r="S133" s="591" t="str">
        <f>L133</f>
        <v>mês</v>
      </c>
      <c r="T133" s="390"/>
      <c r="U133" s="391"/>
      <c r="V133" s="174">
        <f>V134</f>
        <v>0</v>
      </c>
    </row>
    <row r="134" spans="1:27" s="40" customFormat="1" ht="15.75" hidden="1" customHeight="1">
      <c r="A134" s="1106"/>
      <c r="B134" s="371"/>
      <c r="C134" s="374"/>
      <c r="D134" s="2505" t="s">
        <v>259</v>
      </c>
      <c r="E134" s="2506"/>
      <c r="F134" s="2506"/>
      <c r="G134" s="2506"/>
      <c r="H134" s="2506"/>
      <c r="I134" s="2507"/>
      <c r="J134" s="2511">
        <f>R133/J133</f>
        <v>1</v>
      </c>
      <c r="K134" s="2512"/>
      <c r="L134" s="2559"/>
      <c r="M134" s="2561" t="s">
        <v>260</v>
      </c>
      <c r="N134" s="2562"/>
      <c r="O134" s="2562"/>
      <c r="P134" s="2562"/>
      <c r="Q134" s="2563"/>
      <c r="R134" s="375">
        <f>VLOOKUP(A135,'11 - FINANCEIRA'!_xlnm.Print_Area,8,FALSE)</f>
        <v>30</v>
      </c>
      <c r="S134" s="376" t="str">
        <f>L133</f>
        <v>mês</v>
      </c>
      <c r="T134" s="372"/>
      <c r="U134" s="373"/>
      <c r="V134" s="174">
        <f>V135</f>
        <v>0</v>
      </c>
    </row>
    <row r="135" spans="1:27" s="40" customFormat="1" ht="15.75" hidden="1" customHeight="1">
      <c r="A135" s="1106" t="s">
        <v>20</v>
      </c>
      <c r="B135" s="371"/>
      <c r="C135" s="377"/>
      <c r="D135" s="2551"/>
      <c r="E135" s="2552"/>
      <c r="F135" s="2552"/>
      <c r="G135" s="2552"/>
      <c r="H135" s="2552"/>
      <c r="I135" s="2553"/>
      <c r="J135" s="2530"/>
      <c r="K135" s="2531"/>
      <c r="L135" s="2560"/>
      <c r="M135" s="2561" t="s">
        <v>261</v>
      </c>
      <c r="N135" s="2562"/>
      <c r="O135" s="2562"/>
      <c r="P135" s="2562"/>
      <c r="Q135" s="2563"/>
      <c r="R135" s="378">
        <f>R133-R134</f>
        <v>0</v>
      </c>
      <c r="S135" s="379" t="str">
        <f>L133</f>
        <v>mês</v>
      </c>
      <c r="T135" s="372"/>
      <c r="U135" s="373"/>
      <c r="V135" s="174">
        <f>R135</f>
        <v>0</v>
      </c>
    </row>
    <row r="136" spans="1:27" s="40" customFormat="1" hidden="1">
      <c r="A136" s="1106"/>
      <c r="B136" s="380"/>
      <c r="C136" s="381"/>
      <c r="D136" s="382"/>
      <c r="E136" s="383"/>
      <c r="F136" s="382"/>
      <c r="G136" s="382"/>
      <c r="H136" s="382"/>
      <c r="I136" s="382"/>
      <c r="J136" s="384"/>
      <c r="K136" s="385"/>
      <c r="L136" s="386"/>
      <c r="M136" s="387"/>
      <c r="N136" s="387"/>
      <c r="O136" s="387"/>
      <c r="P136" s="387"/>
      <c r="Q136" s="387"/>
      <c r="R136" s="388"/>
      <c r="S136" s="389"/>
      <c r="T136" s="390"/>
      <c r="U136" s="391"/>
      <c r="V136" s="265">
        <f>SUM(V98:V135)</f>
        <v>0</v>
      </c>
    </row>
    <row r="137" spans="1:27" s="176" customFormat="1" ht="42" hidden="1" customHeight="1">
      <c r="A137" s="1106"/>
      <c r="B137" s="2494">
        <f>VLOOKUP(A174,'11 - FINANCEIRA'!_xlnm.Print_Area,2,FALSE)</f>
        <v>20355</v>
      </c>
      <c r="C137" s="2492" t="str">
        <f>VLOOKUP(A174,'11 - FINANCEIRA'!_xlnm.Print_Area,3,FALSE)</f>
        <v>Aluguel Mensal Container Sanitário, Incl Porta, Básc, 2 Ptos Luz, 1 Pto Aterram., 3Vasos, 3Lavatórios, Calha Mictório, 6 Chuveiros (1 Eletrico), Torn.,Registros, Piso Comp. Naval Pintado, Cert Nr18 E Laudo Descontaminação</v>
      </c>
      <c r="D137" s="2581" t="s">
        <v>263</v>
      </c>
      <c r="E137" s="2582"/>
      <c r="F137" s="2582"/>
      <c r="G137" s="2582"/>
      <c r="H137" s="2582"/>
      <c r="I137" s="2583"/>
      <c r="J137" s="2496" t="s">
        <v>264</v>
      </c>
      <c r="K137" s="2496" t="s">
        <v>244</v>
      </c>
      <c r="L137" s="2496" t="s">
        <v>245</v>
      </c>
      <c r="M137" s="2496" t="s">
        <v>246</v>
      </c>
      <c r="N137" s="2496" t="s">
        <v>247</v>
      </c>
      <c r="O137" s="2496" t="s">
        <v>248</v>
      </c>
      <c r="P137" s="2496" t="s">
        <v>265</v>
      </c>
      <c r="Q137" s="2496" t="s">
        <v>139</v>
      </c>
      <c r="R137" s="2577" t="s">
        <v>139</v>
      </c>
      <c r="S137" s="2496" t="s">
        <v>251</v>
      </c>
      <c r="T137" s="2496" t="s">
        <v>252</v>
      </c>
      <c r="U137" s="2586" t="s">
        <v>253</v>
      </c>
      <c r="V137" s="174">
        <f>V138</f>
        <v>0</v>
      </c>
      <c r="W137" s="175"/>
      <c r="X137" s="175"/>
      <c r="Y137" s="175"/>
      <c r="Z137" s="175"/>
      <c r="AA137" s="175"/>
    </row>
    <row r="138" spans="1:27" s="176" customFormat="1" ht="42" hidden="1" customHeight="1">
      <c r="A138" s="1106"/>
      <c r="B138" s="2495"/>
      <c r="C138" s="2493"/>
      <c r="D138" s="2588" t="s">
        <v>254</v>
      </c>
      <c r="E138" s="2589"/>
      <c r="F138" s="2590"/>
      <c r="G138" s="2591" t="s">
        <v>255</v>
      </c>
      <c r="H138" s="2592"/>
      <c r="I138" s="2593"/>
      <c r="J138" s="2497"/>
      <c r="K138" s="2497"/>
      <c r="L138" s="2497"/>
      <c r="M138" s="2497"/>
      <c r="N138" s="2497"/>
      <c r="O138" s="2497"/>
      <c r="P138" s="2497"/>
      <c r="Q138" s="2497"/>
      <c r="R138" s="2578"/>
      <c r="S138" s="2497"/>
      <c r="T138" s="2497"/>
      <c r="U138" s="2587"/>
      <c r="V138" s="174">
        <f>V139</f>
        <v>0</v>
      </c>
      <c r="W138" s="175"/>
      <c r="X138" s="175"/>
      <c r="Y138" s="175"/>
      <c r="Z138" s="175"/>
      <c r="AA138" s="175"/>
    </row>
    <row r="139" spans="1:27" s="176" customFormat="1" hidden="1">
      <c r="A139" s="1106"/>
      <c r="B139" s="336"/>
      <c r="C139" s="337" t="s">
        <v>273</v>
      </c>
      <c r="D139" s="2703">
        <v>44823</v>
      </c>
      <c r="E139" s="2704"/>
      <c r="F139" s="2705"/>
      <c r="G139" s="2706">
        <v>44834</v>
      </c>
      <c r="H139" s="2707"/>
      <c r="I139" s="2708"/>
      <c r="J139" s="275">
        <f>G139-D139+1</f>
        <v>12</v>
      </c>
      <c r="K139" s="275"/>
      <c r="L139" s="275"/>
      <c r="M139" s="275"/>
      <c r="N139" s="275"/>
      <c r="O139" s="275"/>
      <c r="P139" s="338"/>
      <c r="Q139" s="275"/>
      <c r="R139" s="191">
        <f>J139/30</f>
        <v>0.4</v>
      </c>
      <c r="S139" s="275" t="s">
        <v>156</v>
      </c>
      <c r="T139" s="276">
        <v>1</v>
      </c>
      <c r="U139" s="335"/>
      <c r="V139" s="174">
        <f>V140</f>
        <v>0</v>
      </c>
      <c r="W139" s="175"/>
      <c r="X139" s="175"/>
      <c r="Y139" s="175"/>
      <c r="Z139" s="175"/>
      <c r="AA139" s="175"/>
    </row>
    <row r="140" spans="1:27" s="176" customFormat="1" hidden="1">
      <c r="A140" s="1106"/>
      <c r="B140" s="296"/>
      <c r="C140" s="339" t="s">
        <v>560</v>
      </c>
      <c r="D140" s="2533">
        <v>44835</v>
      </c>
      <c r="E140" s="2534"/>
      <c r="F140" s="2535"/>
      <c r="G140" s="2536">
        <v>44865</v>
      </c>
      <c r="H140" s="2537"/>
      <c r="I140" s="2538"/>
      <c r="J140" s="192">
        <v>31</v>
      </c>
      <c r="K140" s="297"/>
      <c r="L140" s="192"/>
      <c r="M140" s="299"/>
      <c r="N140" s="298"/>
      <c r="O140" s="297"/>
      <c r="P140" s="303"/>
      <c r="Q140" s="299"/>
      <c r="R140" s="304">
        <v>1</v>
      </c>
      <c r="S140" s="340" t="s">
        <v>156</v>
      </c>
      <c r="T140" s="193">
        <v>3</v>
      </c>
      <c r="U140" s="341"/>
      <c r="V140" s="174">
        <f>V141</f>
        <v>0</v>
      </c>
      <c r="W140" s="175"/>
      <c r="X140" s="175"/>
      <c r="Y140" s="175"/>
      <c r="Z140" s="175"/>
      <c r="AA140" s="175"/>
    </row>
    <row r="141" spans="1:27" s="222" customFormat="1" hidden="1">
      <c r="A141" s="1106"/>
      <c r="B141" s="342"/>
      <c r="C141" s="343" t="s">
        <v>274</v>
      </c>
      <c r="D141" s="2533">
        <v>44866</v>
      </c>
      <c r="E141" s="2534"/>
      <c r="F141" s="2535"/>
      <c r="G141" s="2533">
        <v>44895</v>
      </c>
      <c r="H141" s="2534"/>
      <c r="I141" s="2535"/>
      <c r="J141" s="340">
        <v>30</v>
      </c>
      <c r="K141" s="344"/>
      <c r="L141" s="344"/>
      <c r="M141" s="344"/>
      <c r="N141" s="344"/>
      <c r="O141" s="345"/>
      <c r="P141" s="344"/>
      <c r="Q141" s="345"/>
      <c r="R141" s="346">
        <v>1</v>
      </c>
      <c r="S141" s="192" t="s">
        <v>156</v>
      </c>
      <c r="T141" s="347">
        <v>3</v>
      </c>
      <c r="U141" s="341"/>
      <c r="V141" s="174">
        <f>V172</f>
        <v>0</v>
      </c>
    </row>
    <row r="142" spans="1:27" s="222" customFormat="1" hidden="1">
      <c r="A142" s="1106"/>
      <c r="B142" s="348"/>
      <c r="C142" s="343" t="s">
        <v>275</v>
      </c>
      <c r="D142" s="2533">
        <v>44896</v>
      </c>
      <c r="E142" s="2534"/>
      <c r="F142" s="2535"/>
      <c r="G142" s="2533">
        <v>44926</v>
      </c>
      <c r="H142" s="2534"/>
      <c r="I142" s="2535"/>
      <c r="J142" s="340">
        <v>31</v>
      </c>
      <c r="K142" s="349"/>
      <c r="L142" s="350"/>
      <c r="M142" s="351"/>
      <c r="N142" s="352"/>
      <c r="O142" s="353"/>
      <c r="P142" s="350"/>
      <c r="Q142" s="354"/>
      <c r="R142" s="346">
        <v>1</v>
      </c>
      <c r="S142" s="340" t="s">
        <v>156</v>
      </c>
      <c r="T142" s="355">
        <v>4</v>
      </c>
      <c r="U142" s="341"/>
      <c r="V142" s="174">
        <f>V172</f>
        <v>0</v>
      </c>
    </row>
    <row r="143" spans="1:27" s="222" customFormat="1" hidden="1">
      <c r="A143" s="1106"/>
      <c r="B143" s="348"/>
      <c r="C143" s="343" t="s">
        <v>276</v>
      </c>
      <c r="D143" s="2533">
        <v>44927</v>
      </c>
      <c r="E143" s="2534"/>
      <c r="F143" s="2535"/>
      <c r="G143" s="2533">
        <v>44957</v>
      </c>
      <c r="H143" s="2534"/>
      <c r="I143" s="2535"/>
      <c r="J143" s="340">
        <v>31</v>
      </c>
      <c r="K143" s="349"/>
      <c r="L143" s="350"/>
      <c r="M143" s="351"/>
      <c r="N143" s="352"/>
      <c r="O143" s="353"/>
      <c r="P143" s="350"/>
      <c r="Q143" s="354"/>
      <c r="R143" s="356">
        <v>1</v>
      </c>
      <c r="S143" s="340" t="s">
        <v>156</v>
      </c>
      <c r="T143" s="355">
        <v>5</v>
      </c>
      <c r="U143" s="341"/>
      <c r="V143" s="174">
        <f>V172</f>
        <v>0</v>
      </c>
    </row>
    <row r="144" spans="1:27" s="175" customFormat="1" hidden="1">
      <c r="A144" s="1110"/>
      <c r="B144" s="348"/>
      <c r="C144" s="343" t="s">
        <v>277</v>
      </c>
      <c r="D144" s="2533">
        <v>44958</v>
      </c>
      <c r="E144" s="2534"/>
      <c r="F144" s="2535"/>
      <c r="G144" s="2533">
        <v>44985</v>
      </c>
      <c r="H144" s="2534"/>
      <c r="I144" s="2535"/>
      <c r="J144" s="357">
        <v>28</v>
      </c>
      <c r="K144" s="349"/>
      <c r="L144" s="350"/>
      <c r="M144" s="351"/>
      <c r="N144" s="352"/>
      <c r="O144" s="353"/>
      <c r="P144" s="350"/>
      <c r="Q144" s="354"/>
      <c r="R144" s="356">
        <v>1</v>
      </c>
      <c r="S144" s="357" t="s">
        <v>156</v>
      </c>
      <c r="T144" s="355">
        <v>6</v>
      </c>
      <c r="U144" s="341"/>
      <c r="V144" s="306">
        <f>V172</f>
        <v>0</v>
      </c>
    </row>
    <row r="145" spans="1:22" s="175" customFormat="1" hidden="1">
      <c r="A145" s="1110"/>
      <c r="B145" s="348"/>
      <c r="C145" s="339" t="s">
        <v>278</v>
      </c>
      <c r="D145" s="2533">
        <v>44986</v>
      </c>
      <c r="E145" s="2534"/>
      <c r="F145" s="2535"/>
      <c r="G145" s="2533">
        <v>45016</v>
      </c>
      <c r="H145" s="2534"/>
      <c r="I145" s="2535"/>
      <c r="J145" s="340">
        <v>31</v>
      </c>
      <c r="K145" s="349"/>
      <c r="L145" s="350"/>
      <c r="M145" s="351"/>
      <c r="N145" s="352"/>
      <c r="O145" s="353"/>
      <c r="P145" s="350"/>
      <c r="Q145" s="354"/>
      <c r="R145" s="356">
        <v>0.6</v>
      </c>
      <c r="S145" s="357" t="s">
        <v>156</v>
      </c>
      <c r="T145" s="355">
        <v>7</v>
      </c>
      <c r="U145" s="341"/>
      <c r="V145" s="306">
        <f>V172</f>
        <v>0</v>
      </c>
    </row>
    <row r="146" spans="1:22" s="175" customFormat="1" hidden="1">
      <c r="A146" s="1110"/>
      <c r="B146" s="342"/>
      <c r="C146" s="339" t="s">
        <v>561</v>
      </c>
      <c r="D146" s="2533">
        <v>44652</v>
      </c>
      <c r="E146" s="2534"/>
      <c r="F146" s="2535"/>
      <c r="G146" s="2536">
        <v>45034</v>
      </c>
      <c r="H146" s="2537"/>
      <c r="I146" s="2538"/>
      <c r="J146" s="340">
        <v>18</v>
      </c>
      <c r="K146" s="340"/>
      <c r="L146" s="340"/>
      <c r="M146" s="340"/>
      <c r="N146" s="340"/>
      <c r="O146" s="340"/>
      <c r="P146" s="461"/>
      <c r="Q146" s="340"/>
      <c r="R146" s="462">
        <v>0.4</v>
      </c>
      <c r="S146" s="340" t="s">
        <v>156</v>
      </c>
      <c r="T146" s="347">
        <v>12</v>
      </c>
      <c r="U146" s="341" t="s">
        <v>491</v>
      </c>
      <c r="V146" s="306"/>
    </row>
    <row r="147" spans="1:22" s="175" customFormat="1" hidden="1">
      <c r="A147" s="1110"/>
      <c r="B147" s="342"/>
      <c r="C147" s="339" t="s">
        <v>562</v>
      </c>
      <c r="D147" s="2533">
        <v>44670</v>
      </c>
      <c r="E147" s="2534"/>
      <c r="F147" s="2535"/>
      <c r="G147" s="2536">
        <v>45046</v>
      </c>
      <c r="H147" s="2537"/>
      <c r="I147" s="2538"/>
      <c r="J147" s="340">
        <v>30</v>
      </c>
      <c r="K147" s="340"/>
      <c r="L147" s="340"/>
      <c r="M147" s="340"/>
      <c r="N147" s="340"/>
      <c r="O147" s="340"/>
      <c r="P147" s="461"/>
      <c r="Q147" s="340"/>
      <c r="R147" s="462">
        <f>J147/30</f>
        <v>1</v>
      </c>
      <c r="S147" s="340" t="s">
        <v>156</v>
      </c>
      <c r="T147" s="347">
        <v>12</v>
      </c>
      <c r="U147" s="341" t="s">
        <v>491</v>
      </c>
      <c r="V147" s="306"/>
    </row>
    <row r="148" spans="1:22" s="175" customFormat="1" hidden="1">
      <c r="A148" s="1110"/>
      <c r="B148" s="342"/>
      <c r="C148" s="339" t="s">
        <v>563</v>
      </c>
      <c r="D148" s="2533">
        <v>44682</v>
      </c>
      <c r="E148" s="2534"/>
      <c r="F148" s="2535"/>
      <c r="G148" s="2536">
        <v>45077</v>
      </c>
      <c r="H148" s="2537"/>
      <c r="I148" s="2538"/>
      <c r="J148" s="340">
        <v>31</v>
      </c>
      <c r="K148" s="560"/>
      <c r="L148" s="340"/>
      <c r="M148" s="463"/>
      <c r="N148" s="464"/>
      <c r="O148" s="560"/>
      <c r="P148" s="461"/>
      <c r="Q148" s="463"/>
      <c r="R148" s="462">
        <v>1</v>
      </c>
      <c r="S148" s="340" t="s">
        <v>156</v>
      </c>
      <c r="T148" s="347">
        <v>12</v>
      </c>
      <c r="U148" s="341" t="s">
        <v>491</v>
      </c>
      <c r="V148" s="306"/>
    </row>
    <row r="149" spans="1:22" s="175" customFormat="1" hidden="1">
      <c r="A149" s="1110"/>
      <c r="B149" s="342"/>
      <c r="C149" s="339" t="s">
        <v>564</v>
      </c>
      <c r="D149" s="2533">
        <v>44713</v>
      </c>
      <c r="E149" s="2534"/>
      <c r="F149" s="2535"/>
      <c r="G149" s="2533">
        <v>45107</v>
      </c>
      <c r="H149" s="2534"/>
      <c r="I149" s="2535"/>
      <c r="J149" s="340">
        <v>30</v>
      </c>
      <c r="K149" s="344"/>
      <c r="L149" s="344"/>
      <c r="M149" s="344"/>
      <c r="N149" s="344"/>
      <c r="O149" s="345"/>
      <c r="P149" s="344"/>
      <c r="Q149" s="345"/>
      <c r="R149" s="346">
        <v>1</v>
      </c>
      <c r="S149" s="340" t="s">
        <v>156</v>
      </c>
      <c r="T149" s="347">
        <v>12</v>
      </c>
      <c r="U149" s="341" t="s">
        <v>491</v>
      </c>
      <c r="V149" s="306"/>
    </row>
    <row r="150" spans="1:22" s="175" customFormat="1" hidden="1">
      <c r="A150" s="1110"/>
      <c r="B150" s="342"/>
      <c r="C150" s="339" t="s">
        <v>565</v>
      </c>
      <c r="D150" s="2533">
        <v>44743</v>
      </c>
      <c r="E150" s="2534"/>
      <c r="F150" s="2535"/>
      <c r="G150" s="2533">
        <v>45138</v>
      </c>
      <c r="H150" s="2534"/>
      <c r="I150" s="2535"/>
      <c r="J150" s="340">
        <v>31</v>
      </c>
      <c r="K150" s="504"/>
      <c r="L150" s="344"/>
      <c r="M150" s="505"/>
      <c r="N150" s="506"/>
      <c r="O150" s="406"/>
      <c r="P150" s="344"/>
      <c r="Q150" s="507"/>
      <c r="R150" s="346">
        <v>1</v>
      </c>
      <c r="S150" s="340" t="s">
        <v>156</v>
      </c>
      <c r="T150" s="347">
        <v>12</v>
      </c>
      <c r="U150" s="341" t="s">
        <v>491</v>
      </c>
      <c r="V150" s="306"/>
    </row>
    <row r="151" spans="1:22" s="175" customFormat="1" hidden="1">
      <c r="A151" s="1110"/>
      <c r="B151" s="342"/>
      <c r="C151" s="339" t="s">
        <v>566</v>
      </c>
      <c r="D151" s="2533">
        <v>45139</v>
      </c>
      <c r="E151" s="2534"/>
      <c r="F151" s="2535"/>
      <c r="G151" s="2533">
        <v>45169</v>
      </c>
      <c r="H151" s="2534"/>
      <c r="I151" s="2535"/>
      <c r="J151" s="340">
        <v>31</v>
      </c>
      <c r="K151" s="504"/>
      <c r="L151" s="344"/>
      <c r="M151" s="505"/>
      <c r="N151" s="506"/>
      <c r="O151" s="406"/>
      <c r="P151" s="344"/>
      <c r="Q151" s="507"/>
      <c r="R151" s="346">
        <v>1</v>
      </c>
      <c r="S151" s="340" t="s">
        <v>156</v>
      </c>
      <c r="T151" s="347">
        <v>12</v>
      </c>
      <c r="U151" s="341" t="s">
        <v>491</v>
      </c>
      <c r="V151" s="306"/>
    </row>
    <row r="152" spans="1:22" s="175" customFormat="1" hidden="1">
      <c r="A152" s="1110"/>
      <c r="B152" s="342"/>
      <c r="C152" s="339" t="s">
        <v>567</v>
      </c>
      <c r="D152" s="2533">
        <v>45170</v>
      </c>
      <c r="E152" s="2534"/>
      <c r="F152" s="2535"/>
      <c r="G152" s="2533">
        <v>45199</v>
      </c>
      <c r="H152" s="2534"/>
      <c r="I152" s="2535"/>
      <c r="J152" s="340">
        <v>30</v>
      </c>
      <c r="K152" s="504"/>
      <c r="L152" s="344"/>
      <c r="M152" s="505"/>
      <c r="N152" s="506"/>
      <c r="O152" s="406"/>
      <c r="P152" s="344"/>
      <c r="Q152" s="507"/>
      <c r="R152" s="346">
        <v>1</v>
      </c>
      <c r="S152" s="340" t="s">
        <v>156</v>
      </c>
      <c r="T152" s="347">
        <v>13</v>
      </c>
      <c r="U152" s="341"/>
      <c r="V152" s="306"/>
    </row>
    <row r="153" spans="1:22" s="175" customFormat="1" hidden="1">
      <c r="A153" s="1110"/>
      <c r="B153" s="342"/>
      <c r="C153" s="339" t="s">
        <v>588</v>
      </c>
      <c r="D153" s="2533">
        <v>45200</v>
      </c>
      <c r="E153" s="2534"/>
      <c r="F153" s="2535"/>
      <c r="G153" s="2533">
        <v>45229</v>
      </c>
      <c r="H153" s="2534"/>
      <c r="I153" s="2535"/>
      <c r="J153" s="340">
        <v>30</v>
      </c>
      <c r="K153" s="504"/>
      <c r="L153" s="344"/>
      <c r="M153" s="505"/>
      <c r="N153" s="506"/>
      <c r="O153" s="406"/>
      <c r="P153" s="344"/>
      <c r="Q153" s="507"/>
      <c r="R153" s="346">
        <v>1</v>
      </c>
      <c r="S153" s="340" t="s">
        <v>156</v>
      </c>
      <c r="T153" s="347">
        <v>14</v>
      </c>
      <c r="U153" s="341"/>
      <c r="V153" s="306"/>
    </row>
    <row r="154" spans="1:22" s="175" customFormat="1" hidden="1">
      <c r="A154" s="1110"/>
      <c r="B154" s="342"/>
      <c r="C154" s="339" t="s">
        <v>599</v>
      </c>
      <c r="D154" s="2533">
        <v>45231</v>
      </c>
      <c r="E154" s="2534"/>
      <c r="F154" s="2535"/>
      <c r="G154" s="2533">
        <v>45260</v>
      </c>
      <c r="H154" s="2534"/>
      <c r="I154" s="2535"/>
      <c r="J154" s="340">
        <v>30</v>
      </c>
      <c r="K154" s="504"/>
      <c r="L154" s="344"/>
      <c r="M154" s="505"/>
      <c r="N154" s="506"/>
      <c r="O154" s="406"/>
      <c r="P154" s="344"/>
      <c r="Q154" s="507"/>
      <c r="R154" s="346">
        <v>1</v>
      </c>
      <c r="S154" s="340" t="s">
        <v>156</v>
      </c>
      <c r="T154" s="347">
        <v>15</v>
      </c>
      <c r="U154" s="341"/>
      <c r="V154" s="306"/>
    </row>
    <row r="155" spans="1:22" s="175" customFormat="1" hidden="1">
      <c r="A155" s="1110"/>
      <c r="B155" s="342"/>
      <c r="C155" s="339" t="s">
        <v>648</v>
      </c>
      <c r="D155" s="2533">
        <v>45261</v>
      </c>
      <c r="E155" s="2534"/>
      <c r="F155" s="2535"/>
      <c r="G155" s="2533">
        <v>45291</v>
      </c>
      <c r="H155" s="2534"/>
      <c r="I155" s="2535"/>
      <c r="J155" s="340">
        <v>30</v>
      </c>
      <c r="K155" s="504"/>
      <c r="L155" s="344"/>
      <c r="M155" s="505"/>
      <c r="N155" s="506"/>
      <c r="O155" s="406"/>
      <c r="P155" s="344"/>
      <c r="Q155" s="507"/>
      <c r="R155" s="346">
        <v>1</v>
      </c>
      <c r="S155" s="340" t="s">
        <v>156</v>
      </c>
      <c r="T155" s="347">
        <v>16</v>
      </c>
      <c r="U155" s="341"/>
      <c r="V155" s="306"/>
    </row>
    <row r="156" spans="1:22" s="175" customFormat="1" hidden="1">
      <c r="A156" s="1110"/>
      <c r="B156" s="342"/>
      <c r="C156" s="339" t="s">
        <v>662</v>
      </c>
      <c r="D156" s="2533">
        <v>45292</v>
      </c>
      <c r="E156" s="2534"/>
      <c r="F156" s="2535"/>
      <c r="G156" s="2533">
        <v>45322</v>
      </c>
      <c r="H156" s="2534"/>
      <c r="I156" s="2535"/>
      <c r="J156" s="340">
        <v>31</v>
      </c>
      <c r="K156" s="504"/>
      <c r="L156" s="344"/>
      <c r="M156" s="505"/>
      <c r="N156" s="506"/>
      <c r="O156" s="406"/>
      <c r="P156" s="344"/>
      <c r="Q156" s="507"/>
      <c r="R156" s="346">
        <v>1</v>
      </c>
      <c r="S156" s="340" t="s">
        <v>156</v>
      </c>
      <c r="T156" s="347">
        <v>17</v>
      </c>
      <c r="U156" s="341"/>
      <c r="V156" s="306"/>
    </row>
    <row r="157" spans="1:22" s="175" customFormat="1" hidden="1">
      <c r="A157" s="1110"/>
      <c r="B157" s="342"/>
      <c r="C157" s="339" t="s">
        <v>700</v>
      </c>
      <c r="D157" s="2533">
        <v>45323</v>
      </c>
      <c r="E157" s="2534"/>
      <c r="F157" s="2535"/>
      <c r="G157" s="2533">
        <v>45351</v>
      </c>
      <c r="H157" s="2534"/>
      <c r="I157" s="2535"/>
      <c r="J157" s="340">
        <v>29</v>
      </c>
      <c r="K157" s="504"/>
      <c r="L157" s="344"/>
      <c r="M157" s="505"/>
      <c r="N157" s="506"/>
      <c r="O157" s="406"/>
      <c r="P157" s="344"/>
      <c r="Q157" s="507"/>
      <c r="R157" s="346">
        <v>1</v>
      </c>
      <c r="S157" s="340" t="s">
        <v>156</v>
      </c>
      <c r="T157" s="347">
        <v>18</v>
      </c>
      <c r="U157" s="341"/>
      <c r="V157" s="306"/>
    </row>
    <row r="158" spans="1:22" s="688" customFormat="1" hidden="1">
      <c r="A158" s="1771"/>
      <c r="B158" s="756"/>
      <c r="C158" s="339" t="s">
        <v>737</v>
      </c>
      <c r="D158" s="2533">
        <v>45352</v>
      </c>
      <c r="E158" s="2534"/>
      <c r="F158" s="2535"/>
      <c r="G158" s="2533">
        <v>45382</v>
      </c>
      <c r="H158" s="2534"/>
      <c r="I158" s="2535"/>
      <c r="J158" s="340">
        <v>30</v>
      </c>
      <c r="K158" s="504"/>
      <c r="L158" s="344"/>
      <c r="M158" s="505"/>
      <c r="N158" s="506"/>
      <c r="O158" s="406"/>
      <c r="P158" s="344"/>
      <c r="Q158" s="507"/>
      <c r="R158" s="346">
        <v>1</v>
      </c>
      <c r="S158" s="340" t="s">
        <v>156</v>
      </c>
      <c r="T158" s="347">
        <v>19</v>
      </c>
      <c r="U158" s="341"/>
      <c r="V158" s="713"/>
    </row>
    <row r="159" spans="1:22" s="175" customFormat="1" hidden="1">
      <c r="A159" s="1110"/>
      <c r="B159" s="342"/>
      <c r="C159" s="339" t="s">
        <v>738</v>
      </c>
      <c r="D159" s="2533">
        <f t="shared" ref="D159:D171" si="8">D120</f>
        <v>45383</v>
      </c>
      <c r="E159" s="2534"/>
      <c r="F159" s="2535"/>
      <c r="G159" s="2533" t="str">
        <f t="shared" ref="G159:G171" si="9">G120</f>
        <v>31/04/2024</v>
      </c>
      <c r="H159" s="2534"/>
      <c r="I159" s="2535"/>
      <c r="J159" s="340">
        <f t="shared" ref="J159:J171" si="10">J120</f>
        <v>30</v>
      </c>
      <c r="K159" s="504"/>
      <c r="L159" s="344"/>
      <c r="M159" s="505"/>
      <c r="N159" s="506"/>
      <c r="O159" s="406"/>
      <c r="P159" s="344"/>
      <c r="Q159" s="507"/>
      <c r="R159" s="346">
        <v>1</v>
      </c>
      <c r="S159" s="340" t="s">
        <v>156</v>
      </c>
      <c r="T159" s="347">
        <v>22</v>
      </c>
      <c r="U159" s="341"/>
      <c r="V159" s="306"/>
    </row>
    <row r="160" spans="1:22" s="175" customFormat="1" hidden="1">
      <c r="A160" s="1110"/>
      <c r="B160" s="342"/>
      <c r="C160" s="339" t="s">
        <v>770</v>
      </c>
      <c r="D160" s="2533">
        <f t="shared" si="8"/>
        <v>45413</v>
      </c>
      <c r="E160" s="2534"/>
      <c r="F160" s="2535"/>
      <c r="G160" s="2533">
        <f t="shared" si="9"/>
        <v>45443</v>
      </c>
      <c r="H160" s="2534"/>
      <c r="I160" s="2535"/>
      <c r="J160" s="340">
        <f t="shared" si="10"/>
        <v>31</v>
      </c>
      <c r="K160" s="504"/>
      <c r="L160" s="344"/>
      <c r="M160" s="505"/>
      <c r="N160" s="506"/>
      <c r="O160" s="406"/>
      <c r="P160" s="344"/>
      <c r="Q160" s="507"/>
      <c r="R160" s="346">
        <v>1</v>
      </c>
      <c r="S160" s="340" t="s">
        <v>156</v>
      </c>
      <c r="T160" s="347">
        <v>22</v>
      </c>
      <c r="U160" s="341"/>
      <c r="V160" s="306"/>
    </row>
    <row r="161" spans="1:27" s="175" customFormat="1" hidden="1">
      <c r="A161" s="1110"/>
      <c r="B161" s="342"/>
      <c r="C161" s="339" t="s">
        <v>851</v>
      </c>
      <c r="D161" s="2533">
        <f t="shared" si="8"/>
        <v>45444</v>
      </c>
      <c r="E161" s="2534"/>
      <c r="F161" s="2535"/>
      <c r="G161" s="2533" t="str">
        <f t="shared" si="9"/>
        <v>31/06/2024</v>
      </c>
      <c r="H161" s="2534"/>
      <c r="I161" s="2535"/>
      <c r="J161" s="340">
        <f t="shared" si="10"/>
        <v>30</v>
      </c>
      <c r="K161" s="352"/>
      <c r="L161" s="344"/>
      <c r="M161" s="505"/>
      <c r="N161" s="506"/>
      <c r="O161" s="406"/>
      <c r="P161" s="344"/>
      <c r="Q161" s="507"/>
      <c r="R161" s="346">
        <v>1</v>
      </c>
      <c r="S161" s="340" t="s">
        <v>156</v>
      </c>
      <c r="T161" s="347">
        <v>22</v>
      </c>
      <c r="U161" s="341"/>
      <c r="V161" s="306"/>
    </row>
    <row r="162" spans="1:27" s="175" customFormat="1" hidden="1">
      <c r="A162" s="1110"/>
      <c r="B162" s="342"/>
      <c r="C162" s="339" t="s">
        <v>852</v>
      </c>
      <c r="D162" s="2533">
        <f t="shared" si="8"/>
        <v>45474</v>
      </c>
      <c r="E162" s="2534"/>
      <c r="F162" s="2535"/>
      <c r="G162" s="2533">
        <f t="shared" si="9"/>
        <v>45504</v>
      </c>
      <c r="H162" s="2534"/>
      <c r="I162" s="2535"/>
      <c r="J162" s="340">
        <f t="shared" si="10"/>
        <v>31</v>
      </c>
      <c r="K162" s="352"/>
      <c r="L162" s="344"/>
      <c r="M162" s="505"/>
      <c r="N162" s="506"/>
      <c r="O162" s="406"/>
      <c r="P162" s="344"/>
      <c r="Q162" s="507"/>
      <c r="R162" s="346">
        <v>1</v>
      </c>
      <c r="S162" s="340" t="s">
        <v>156</v>
      </c>
      <c r="T162" s="347">
        <v>22</v>
      </c>
      <c r="U162" s="341"/>
      <c r="V162" s="306"/>
    </row>
    <row r="163" spans="1:27" s="175" customFormat="1" hidden="1">
      <c r="A163" s="1110"/>
      <c r="B163" s="342"/>
      <c r="C163" s="339" t="s">
        <v>920</v>
      </c>
      <c r="D163" s="2533">
        <f t="shared" si="8"/>
        <v>45505</v>
      </c>
      <c r="E163" s="2534"/>
      <c r="F163" s="2535"/>
      <c r="G163" s="2533">
        <f t="shared" si="9"/>
        <v>45534</v>
      </c>
      <c r="H163" s="2534"/>
      <c r="I163" s="2535"/>
      <c r="J163" s="340">
        <f t="shared" si="10"/>
        <v>30</v>
      </c>
      <c r="K163" s="352"/>
      <c r="L163" s="344"/>
      <c r="M163" s="505"/>
      <c r="N163" s="506"/>
      <c r="O163" s="406"/>
      <c r="P163" s="344"/>
      <c r="Q163" s="507"/>
      <c r="R163" s="346">
        <v>1</v>
      </c>
      <c r="S163" s="340" t="s">
        <v>156</v>
      </c>
      <c r="T163" s="347">
        <v>23</v>
      </c>
      <c r="U163" s="341"/>
      <c r="V163" s="306"/>
    </row>
    <row r="164" spans="1:27" s="175" customFormat="1" hidden="1">
      <c r="A164" s="1110"/>
      <c r="B164" s="342"/>
      <c r="C164" s="339" t="s">
        <v>952</v>
      </c>
      <c r="D164" s="2533">
        <f t="shared" si="8"/>
        <v>45536</v>
      </c>
      <c r="E164" s="2534"/>
      <c r="F164" s="2535"/>
      <c r="G164" s="2533">
        <f t="shared" si="9"/>
        <v>45554</v>
      </c>
      <c r="H164" s="2534"/>
      <c r="I164" s="2535"/>
      <c r="J164" s="340">
        <f t="shared" si="10"/>
        <v>19</v>
      </c>
      <c r="K164" s="352"/>
      <c r="L164" s="344"/>
      <c r="M164" s="505"/>
      <c r="N164" s="506"/>
      <c r="O164" s="406"/>
      <c r="P164" s="344"/>
      <c r="Q164" s="507"/>
      <c r="R164" s="346">
        <v>0.6</v>
      </c>
      <c r="S164" s="340" t="s">
        <v>156</v>
      </c>
      <c r="T164" s="347">
        <v>24</v>
      </c>
      <c r="U164" s="341"/>
      <c r="V164" s="306"/>
    </row>
    <row r="165" spans="1:27" s="175" customFormat="1" ht="18" hidden="1" customHeight="1">
      <c r="A165" s="1110"/>
      <c r="B165" s="342"/>
      <c r="C165" s="339" t="s">
        <v>952</v>
      </c>
      <c r="D165" s="2533">
        <f t="shared" si="8"/>
        <v>45554</v>
      </c>
      <c r="E165" s="2534"/>
      <c r="F165" s="2535"/>
      <c r="G165" s="2533" t="str">
        <f t="shared" si="9"/>
        <v>31/09/2024</v>
      </c>
      <c r="H165" s="2534"/>
      <c r="I165" s="2535"/>
      <c r="J165" s="340">
        <f t="shared" si="10"/>
        <v>12</v>
      </c>
      <c r="K165" s="352"/>
      <c r="L165" s="344"/>
      <c r="M165" s="505"/>
      <c r="N165" s="506"/>
      <c r="O165" s="406"/>
      <c r="P165" s="344"/>
      <c r="Q165" s="507"/>
      <c r="R165" s="346">
        <v>0.4</v>
      </c>
      <c r="S165" s="340" t="s">
        <v>156</v>
      </c>
      <c r="T165" s="347">
        <v>25</v>
      </c>
      <c r="U165" s="341"/>
      <c r="V165" s="306"/>
    </row>
    <row r="166" spans="1:27" s="175" customFormat="1" hidden="1">
      <c r="A166" s="1110"/>
      <c r="B166" s="342"/>
      <c r="C166" s="339" t="s">
        <v>1001</v>
      </c>
      <c r="D166" s="2533">
        <f t="shared" si="8"/>
        <v>45566</v>
      </c>
      <c r="E166" s="2534"/>
      <c r="F166" s="2535"/>
      <c r="G166" s="2533">
        <f t="shared" si="9"/>
        <v>45596</v>
      </c>
      <c r="H166" s="2534"/>
      <c r="I166" s="2535"/>
      <c r="J166" s="340">
        <f t="shared" si="10"/>
        <v>31</v>
      </c>
      <c r="K166" s="352"/>
      <c r="L166" s="344"/>
      <c r="M166" s="505"/>
      <c r="N166" s="506"/>
      <c r="O166" s="406"/>
      <c r="P166" s="344"/>
      <c r="Q166" s="507"/>
      <c r="R166" s="346">
        <v>1</v>
      </c>
      <c r="S166" s="340" t="s">
        <v>156</v>
      </c>
      <c r="T166" s="347">
        <v>25</v>
      </c>
      <c r="U166" s="341"/>
      <c r="V166" s="306"/>
    </row>
    <row r="167" spans="1:27" s="175" customFormat="1" hidden="1">
      <c r="A167" s="1110"/>
      <c r="B167" s="342"/>
      <c r="C167" s="339" t="s">
        <v>1002</v>
      </c>
      <c r="D167" s="2533">
        <f t="shared" si="8"/>
        <v>45597</v>
      </c>
      <c r="E167" s="2534"/>
      <c r="F167" s="2535"/>
      <c r="G167" s="2533">
        <f t="shared" si="9"/>
        <v>45626</v>
      </c>
      <c r="H167" s="2534"/>
      <c r="I167" s="2535"/>
      <c r="J167" s="340">
        <f t="shared" si="10"/>
        <v>30</v>
      </c>
      <c r="K167" s="352"/>
      <c r="L167" s="344"/>
      <c r="M167" s="505"/>
      <c r="N167" s="506"/>
      <c r="O167" s="406"/>
      <c r="P167" s="344"/>
      <c r="Q167" s="507"/>
      <c r="R167" s="346">
        <v>1</v>
      </c>
      <c r="S167" s="340" t="s">
        <v>156</v>
      </c>
      <c r="T167" s="347">
        <v>25</v>
      </c>
      <c r="U167" s="341"/>
      <c r="V167" s="306"/>
    </row>
    <row r="168" spans="1:27" s="175" customFormat="1" hidden="1">
      <c r="A168" s="1110"/>
      <c r="B168" s="342"/>
      <c r="C168" s="339" t="s">
        <v>1003</v>
      </c>
      <c r="D168" s="2533">
        <f t="shared" si="8"/>
        <v>45627</v>
      </c>
      <c r="E168" s="2534"/>
      <c r="F168" s="2535"/>
      <c r="G168" s="2533">
        <f t="shared" si="9"/>
        <v>45657</v>
      </c>
      <c r="H168" s="2534"/>
      <c r="I168" s="2535"/>
      <c r="J168" s="340">
        <f t="shared" si="10"/>
        <v>31</v>
      </c>
      <c r="K168" s="352"/>
      <c r="L168" s="344"/>
      <c r="M168" s="505"/>
      <c r="N168" s="506"/>
      <c r="O168" s="406"/>
      <c r="P168" s="344"/>
      <c r="Q168" s="507"/>
      <c r="R168" s="346">
        <v>1</v>
      </c>
      <c r="S168" s="340" t="s">
        <v>156</v>
      </c>
      <c r="T168" s="347">
        <v>25</v>
      </c>
      <c r="U168" s="341"/>
      <c r="V168" s="306"/>
    </row>
    <row r="169" spans="1:27" s="175" customFormat="1" hidden="1">
      <c r="A169" s="1110"/>
      <c r="B169" s="342"/>
      <c r="C169" s="339" t="s">
        <v>1004</v>
      </c>
      <c r="D169" s="2533">
        <f t="shared" si="8"/>
        <v>45658</v>
      </c>
      <c r="E169" s="2534"/>
      <c r="F169" s="2535"/>
      <c r="G169" s="2533">
        <f t="shared" si="9"/>
        <v>45688</v>
      </c>
      <c r="H169" s="2534"/>
      <c r="I169" s="2535"/>
      <c r="J169" s="340">
        <f t="shared" si="10"/>
        <v>31</v>
      </c>
      <c r="K169" s="506"/>
      <c r="L169" s="344"/>
      <c r="M169" s="505"/>
      <c r="N169" s="506"/>
      <c r="O169" s="406"/>
      <c r="P169" s="344"/>
      <c r="Q169" s="507"/>
      <c r="R169" s="346">
        <v>1</v>
      </c>
      <c r="S169" s="340" t="s">
        <v>156</v>
      </c>
      <c r="T169" s="347">
        <v>25</v>
      </c>
      <c r="U169" s="341"/>
      <c r="V169" s="306"/>
    </row>
    <row r="170" spans="1:27" s="175" customFormat="1" hidden="1">
      <c r="A170" s="1110"/>
      <c r="B170" s="342"/>
      <c r="C170" s="339" t="s">
        <v>1099</v>
      </c>
      <c r="D170" s="2533">
        <f t="shared" si="8"/>
        <v>45689</v>
      </c>
      <c r="E170" s="2534"/>
      <c r="F170" s="2535"/>
      <c r="G170" s="2533">
        <f t="shared" si="9"/>
        <v>45716</v>
      </c>
      <c r="H170" s="2534"/>
      <c r="I170" s="2535"/>
      <c r="J170" s="340">
        <f t="shared" si="10"/>
        <v>28</v>
      </c>
      <c r="K170" s="506"/>
      <c r="L170" s="344"/>
      <c r="M170" s="505"/>
      <c r="N170" s="506"/>
      <c r="O170" s="406"/>
      <c r="P170" s="344"/>
      <c r="Q170" s="507"/>
      <c r="R170" s="346">
        <v>1</v>
      </c>
      <c r="S170" s="340" t="s">
        <v>156</v>
      </c>
      <c r="T170" s="347">
        <v>26</v>
      </c>
      <c r="U170" s="341"/>
      <c r="V170" s="306"/>
    </row>
    <row r="171" spans="1:27" s="175" customFormat="1" hidden="1">
      <c r="A171" s="1110"/>
      <c r="B171" s="348"/>
      <c r="C171" s="547" t="s">
        <v>1098</v>
      </c>
      <c r="D171" s="2672">
        <f t="shared" si="8"/>
        <v>45717</v>
      </c>
      <c r="E171" s="2673"/>
      <c r="F171" s="2674"/>
      <c r="G171" s="2672">
        <f t="shared" si="9"/>
        <v>45747</v>
      </c>
      <c r="H171" s="2673"/>
      <c r="I171" s="2674"/>
      <c r="J171" s="357">
        <f t="shared" si="10"/>
        <v>31</v>
      </c>
      <c r="K171" s="352"/>
      <c r="L171" s="350"/>
      <c r="M171" s="351"/>
      <c r="N171" s="352"/>
      <c r="O171" s="353"/>
      <c r="P171" s="350"/>
      <c r="Q171" s="354"/>
      <c r="R171" s="356">
        <v>0.6</v>
      </c>
      <c r="S171" s="357" t="s">
        <v>156</v>
      </c>
      <c r="T171" s="355">
        <v>27</v>
      </c>
      <c r="U171" s="971"/>
      <c r="V171" s="306"/>
    </row>
    <row r="172" spans="1:27" s="40" customFormat="1" ht="15.75" hidden="1" customHeight="1">
      <c r="A172" s="1106"/>
      <c r="B172" s="645"/>
      <c r="C172" s="1612"/>
      <c r="D172" s="2548" t="s">
        <v>257</v>
      </c>
      <c r="E172" s="2549"/>
      <c r="F172" s="2549"/>
      <c r="G172" s="2549"/>
      <c r="H172" s="2549"/>
      <c r="I172" s="2550"/>
      <c r="J172" s="2490">
        <f>VLOOKUP(A174,'11 - FINANCEIRA'!$A$16:$AE$156,30,FALSE)</f>
        <v>30</v>
      </c>
      <c r="K172" s="2491"/>
      <c r="L172" s="590" t="str">
        <f>VLOOKUP(A174,'11 - FINANCEIRA'!_xlnm.Print_Area,4,FALSE)</f>
        <v>mês</v>
      </c>
      <c r="M172" s="2561" t="s">
        <v>258</v>
      </c>
      <c r="N172" s="2562"/>
      <c r="O172" s="2562"/>
      <c r="P172" s="2562"/>
      <c r="Q172" s="2563"/>
      <c r="R172" s="375">
        <f>SUM(R139:R171)</f>
        <v>30</v>
      </c>
      <c r="S172" s="591" t="str">
        <f>L172</f>
        <v>mês</v>
      </c>
      <c r="T172" s="390"/>
      <c r="U172" s="391"/>
      <c r="V172" s="174">
        <f>V173</f>
        <v>0</v>
      </c>
    </row>
    <row r="173" spans="1:27" s="40" customFormat="1" ht="15.75" hidden="1" customHeight="1">
      <c r="A173" s="1106"/>
      <c r="B173" s="371"/>
      <c r="C173" s="374"/>
      <c r="D173" s="2505" t="s">
        <v>259</v>
      </c>
      <c r="E173" s="2506"/>
      <c r="F173" s="2506"/>
      <c r="G173" s="2506"/>
      <c r="H173" s="2506"/>
      <c r="I173" s="2507"/>
      <c r="J173" s="2511">
        <f>R172/J172</f>
        <v>1</v>
      </c>
      <c r="K173" s="2512"/>
      <c r="L173" s="2559"/>
      <c r="M173" s="2561" t="s">
        <v>260</v>
      </c>
      <c r="N173" s="2562"/>
      <c r="O173" s="2562"/>
      <c r="P173" s="2562"/>
      <c r="Q173" s="2563"/>
      <c r="R173" s="375">
        <f>VLOOKUP(A174,'11 - FINANCEIRA'!_xlnm.Print_Area,8,FALSE)</f>
        <v>30</v>
      </c>
      <c r="S173" s="376" t="str">
        <f>L172</f>
        <v>mês</v>
      </c>
      <c r="T173" s="372"/>
      <c r="U173" s="373"/>
      <c r="V173" s="174">
        <f>V174</f>
        <v>0</v>
      </c>
    </row>
    <row r="174" spans="1:27" s="40" customFormat="1" ht="15.75" hidden="1" customHeight="1">
      <c r="A174" s="1106" t="s">
        <v>21</v>
      </c>
      <c r="B174" s="371"/>
      <c r="C174" s="377"/>
      <c r="D174" s="2551"/>
      <c r="E174" s="2552"/>
      <c r="F174" s="2552"/>
      <c r="G174" s="2552"/>
      <c r="H174" s="2552"/>
      <c r="I174" s="2553"/>
      <c r="J174" s="2530"/>
      <c r="K174" s="2531"/>
      <c r="L174" s="2560"/>
      <c r="M174" s="2561" t="s">
        <v>261</v>
      </c>
      <c r="N174" s="2562"/>
      <c r="O174" s="2562"/>
      <c r="P174" s="2562"/>
      <c r="Q174" s="2563"/>
      <c r="R174" s="378">
        <f>R172-R173</f>
        <v>0</v>
      </c>
      <c r="S174" s="379" t="str">
        <f>L172</f>
        <v>mês</v>
      </c>
      <c r="T174" s="372"/>
      <c r="U174" s="373">
        <f>SUBTOTAL(9,U123:U173)</f>
        <v>0</v>
      </c>
      <c r="V174" s="174">
        <f>R174</f>
        <v>0</v>
      </c>
    </row>
    <row r="175" spans="1:27" s="40" customFormat="1" hidden="1">
      <c r="A175" s="1106"/>
      <c r="B175" s="380"/>
      <c r="C175" s="381"/>
      <c r="D175" s="382"/>
      <c r="E175" s="383"/>
      <c r="F175" s="382"/>
      <c r="G175" s="382"/>
      <c r="H175" s="382"/>
      <c r="I175" s="382"/>
      <c r="J175" s="384"/>
      <c r="K175" s="385"/>
      <c r="L175" s="386"/>
      <c r="M175" s="387"/>
      <c r="N175" s="387"/>
      <c r="O175" s="387"/>
      <c r="P175" s="387"/>
      <c r="Q175" s="387"/>
      <c r="R175" s="388"/>
      <c r="S175" s="389"/>
      <c r="T175" s="390"/>
      <c r="U175" s="391"/>
      <c r="V175" s="265">
        <f>SUM(V137:V174)</f>
        <v>0</v>
      </c>
    </row>
    <row r="176" spans="1:27" s="176" customFormat="1" ht="81" customHeight="1">
      <c r="A176" s="1106"/>
      <c r="B176" s="2494">
        <f>VLOOKUP(A230,'11 - FINANCEIRA'!_xlnm.Print_Area,2,FALSE)</f>
        <v>20352</v>
      </c>
      <c r="C176" s="2492" t="str">
        <f>VLOOKUP(A230,'11 - FINANCEIRA'!_xlnm.Print_Area,3,FALSE)</f>
        <v>Aluguel Mensal Container Para Escritório, Dim. 6.00X2.40M, C/ Banheiro (Vaso+Lavat+Chuveiro E Básc), Incl. Porta, 2 Janelas, Abert P/ Ar Cond., 2 Pt Iluminação, 2 Tom. Elét. E 1 Tom.Telef. Isolam.Térmico(Teto E Paredes), Piso Em Comp. Naval, Cert. Nr18, Incl. Laudo Descontaminação.</v>
      </c>
      <c r="D176" s="2581" t="s">
        <v>263</v>
      </c>
      <c r="E176" s="2582"/>
      <c r="F176" s="2582"/>
      <c r="G176" s="2582"/>
      <c r="H176" s="2582"/>
      <c r="I176" s="2583"/>
      <c r="J176" s="2496" t="s">
        <v>264</v>
      </c>
      <c r="K176" s="2496" t="s">
        <v>244</v>
      </c>
      <c r="L176" s="2496" t="s">
        <v>245</v>
      </c>
      <c r="M176" s="2496" t="s">
        <v>246</v>
      </c>
      <c r="N176" s="2496" t="s">
        <v>247</v>
      </c>
      <c r="O176" s="2496" t="s">
        <v>248</v>
      </c>
      <c r="P176" s="2496" t="s">
        <v>265</v>
      </c>
      <c r="Q176" s="2496" t="s">
        <v>139</v>
      </c>
      <c r="R176" s="2577" t="s">
        <v>139</v>
      </c>
      <c r="S176" s="2496" t="s">
        <v>251</v>
      </c>
      <c r="T176" s="2496" t="s">
        <v>252</v>
      </c>
      <c r="U176" s="2586" t="s">
        <v>253</v>
      </c>
      <c r="V176" s="174" t="e">
        <f>V177</f>
        <v>#REF!</v>
      </c>
      <c r="W176" s="175"/>
      <c r="X176" s="175"/>
      <c r="Y176" s="175"/>
      <c r="Z176" s="175"/>
      <c r="AA176" s="175"/>
    </row>
    <row r="177" spans="1:27" s="176" customFormat="1">
      <c r="A177" s="1106"/>
      <c r="B177" s="2495"/>
      <c r="C177" s="2493"/>
      <c r="D177" s="2588" t="s">
        <v>254</v>
      </c>
      <c r="E177" s="2589"/>
      <c r="F177" s="2590"/>
      <c r="G177" s="2591" t="s">
        <v>255</v>
      </c>
      <c r="H177" s="2592"/>
      <c r="I177" s="2593"/>
      <c r="J177" s="2497"/>
      <c r="K177" s="2497"/>
      <c r="L177" s="2497"/>
      <c r="M177" s="2497"/>
      <c r="N177" s="2497"/>
      <c r="O177" s="2497"/>
      <c r="P177" s="2497"/>
      <c r="Q177" s="2497"/>
      <c r="R177" s="2578"/>
      <c r="S177" s="2497"/>
      <c r="T177" s="2497"/>
      <c r="U177" s="2587"/>
      <c r="V177" s="174" t="e">
        <f>V178</f>
        <v>#REF!</v>
      </c>
      <c r="W177" s="175"/>
      <c r="X177" s="175"/>
      <c r="Y177" s="175"/>
      <c r="Z177" s="175"/>
      <c r="AA177" s="175"/>
    </row>
    <row r="178" spans="1:27" s="176" customFormat="1">
      <c r="A178" s="1110"/>
      <c r="B178" s="336"/>
      <c r="C178" s="337" t="s">
        <v>279</v>
      </c>
      <c r="D178" s="2703">
        <v>44823</v>
      </c>
      <c r="E178" s="2704"/>
      <c r="F178" s="2705"/>
      <c r="G178" s="2706">
        <v>44834</v>
      </c>
      <c r="H178" s="2707"/>
      <c r="I178" s="2708"/>
      <c r="J178" s="275">
        <f>G178-D178+1</f>
        <v>12</v>
      </c>
      <c r="K178" s="275"/>
      <c r="L178" s="275"/>
      <c r="M178" s="275"/>
      <c r="N178" s="275"/>
      <c r="O178" s="275"/>
      <c r="P178" s="338"/>
      <c r="Q178" s="275"/>
      <c r="R178" s="191">
        <f>J178/30</f>
        <v>0.4</v>
      </c>
      <c r="S178" s="275" t="s">
        <v>156</v>
      </c>
      <c r="T178" s="276">
        <v>1</v>
      </c>
      <c r="U178" s="1555"/>
      <c r="V178" s="306" t="e">
        <f>V179</f>
        <v>#REF!</v>
      </c>
      <c r="W178" s="175"/>
      <c r="X178" s="175"/>
      <c r="Y178" s="175"/>
      <c r="Z178" s="175"/>
      <c r="AA178" s="175"/>
    </row>
    <row r="179" spans="1:27" s="176" customFormat="1">
      <c r="A179" s="1110"/>
      <c r="B179" s="296"/>
      <c r="C179" s="339" t="s">
        <v>280</v>
      </c>
      <c r="D179" s="2533">
        <v>44835</v>
      </c>
      <c r="E179" s="2534"/>
      <c r="F179" s="2535"/>
      <c r="G179" s="2536">
        <v>44865</v>
      </c>
      <c r="H179" s="2537"/>
      <c r="I179" s="2538"/>
      <c r="J179" s="1604">
        <v>31</v>
      </c>
      <c r="K179" s="1125"/>
      <c r="L179" s="1604"/>
      <c r="M179" s="1136"/>
      <c r="N179" s="298"/>
      <c r="O179" s="1125"/>
      <c r="P179" s="1697"/>
      <c r="Q179" s="1136"/>
      <c r="R179" s="1121">
        <v>1</v>
      </c>
      <c r="S179" s="392" t="s">
        <v>156</v>
      </c>
      <c r="T179" s="1698">
        <v>2</v>
      </c>
      <c r="U179" s="341">
        <f>SUBTOTAL(9,U16:U174)</f>
        <v>0</v>
      </c>
      <c r="V179" s="306" t="e">
        <f>V180</f>
        <v>#REF!</v>
      </c>
      <c r="W179" s="175"/>
      <c r="X179" s="175"/>
      <c r="Y179" s="175"/>
      <c r="Z179" s="175"/>
      <c r="AA179" s="175"/>
    </row>
    <row r="180" spans="1:27" s="175" customFormat="1">
      <c r="A180" s="1110"/>
      <c r="B180" s="342"/>
      <c r="C180" s="339" t="s">
        <v>281</v>
      </c>
      <c r="D180" s="2533">
        <v>44866</v>
      </c>
      <c r="E180" s="2534"/>
      <c r="F180" s="2535"/>
      <c r="G180" s="2533">
        <v>44895</v>
      </c>
      <c r="H180" s="2534"/>
      <c r="I180" s="2535"/>
      <c r="J180" s="340">
        <v>30</v>
      </c>
      <c r="K180" s="344"/>
      <c r="L180" s="344"/>
      <c r="M180" s="344"/>
      <c r="N180" s="344"/>
      <c r="O180" s="345"/>
      <c r="P180" s="344"/>
      <c r="Q180" s="345"/>
      <c r="R180" s="346">
        <v>1</v>
      </c>
      <c r="S180" s="406" t="s">
        <v>156</v>
      </c>
      <c r="T180" s="347">
        <v>3</v>
      </c>
      <c r="U180" s="393"/>
      <c r="V180" s="306" t="e">
        <f>#REF!</f>
        <v>#REF!</v>
      </c>
    </row>
    <row r="181" spans="1:27" s="175" customFormat="1">
      <c r="A181" s="1110"/>
      <c r="B181" s="348"/>
      <c r="C181" s="343" t="s">
        <v>282</v>
      </c>
      <c r="D181" s="2533">
        <v>44896</v>
      </c>
      <c r="E181" s="2534"/>
      <c r="F181" s="2535"/>
      <c r="G181" s="2533">
        <v>44926</v>
      </c>
      <c r="H181" s="2534"/>
      <c r="I181" s="2535"/>
      <c r="J181" s="340">
        <v>31</v>
      </c>
      <c r="K181" s="349"/>
      <c r="L181" s="350"/>
      <c r="M181" s="351"/>
      <c r="N181" s="352"/>
      <c r="O181" s="353"/>
      <c r="P181" s="350"/>
      <c r="Q181" s="354"/>
      <c r="R181" s="346">
        <v>1</v>
      </c>
      <c r="S181" s="340" t="s">
        <v>156</v>
      </c>
      <c r="T181" s="355">
        <v>4</v>
      </c>
      <c r="U181" s="1635"/>
      <c r="V181" s="306" t="e">
        <f>#REF!</f>
        <v>#REF!</v>
      </c>
    </row>
    <row r="182" spans="1:27" s="175" customFormat="1">
      <c r="A182" s="1110"/>
      <c r="B182" s="348"/>
      <c r="C182" s="343" t="s">
        <v>283</v>
      </c>
      <c r="D182" s="2533">
        <v>44927</v>
      </c>
      <c r="E182" s="2534"/>
      <c r="F182" s="2535"/>
      <c r="G182" s="2533">
        <v>44957</v>
      </c>
      <c r="H182" s="2534"/>
      <c r="I182" s="2535"/>
      <c r="J182" s="340">
        <v>31</v>
      </c>
      <c r="K182" s="349"/>
      <c r="L182" s="350"/>
      <c r="M182" s="351"/>
      <c r="N182" s="352"/>
      <c r="O182" s="353"/>
      <c r="P182" s="350"/>
      <c r="Q182" s="354"/>
      <c r="R182" s="356">
        <v>1</v>
      </c>
      <c r="S182" s="340" t="s">
        <v>156</v>
      </c>
      <c r="T182" s="355">
        <v>5</v>
      </c>
      <c r="U182" s="408"/>
      <c r="V182" s="306" t="e">
        <f>#REF!</f>
        <v>#REF!</v>
      </c>
    </row>
    <row r="183" spans="1:27" s="175" customFormat="1">
      <c r="A183" s="1110"/>
      <c r="B183" s="348"/>
      <c r="C183" s="343" t="s">
        <v>284</v>
      </c>
      <c r="D183" s="2533">
        <v>44958</v>
      </c>
      <c r="E183" s="2534"/>
      <c r="F183" s="2535"/>
      <c r="G183" s="2533">
        <v>44985</v>
      </c>
      <c r="H183" s="2534"/>
      <c r="I183" s="2535"/>
      <c r="J183" s="357">
        <v>28</v>
      </c>
      <c r="K183" s="349"/>
      <c r="L183" s="350"/>
      <c r="M183" s="351"/>
      <c r="N183" s="352"/>
      <c r="O183" s="353"/>
      <c r="P183" s="350"/>
      <c r="Q183" s="354"/>
      <c r="R183" s="356">
        <v>1</v>
      </c>
      <c r="S183" s="357" t="s">
        <v>156</v>
      </c>
      <c r="T183" s="355">
        <v>6</v>
      </c>
      <c r="U183" s="408"/>
      <c r="V183" s="306" t="e">
        <f>#REF!</f>
        <v>#REF!</v>
      </c>
    </row>
    <row r="184" spans="1:27" s="175" customFormat="1">
      <c r="A184" s="1110"/>
      <c r="B184" s="348"/>
      <c r="C184" s="343" t="s">
        <v>285</v>
      </c>
      <c r="D184" s="2533">
        <v>44986</v>
      </c>
      <c r="E184" s="2534"/>
      <c r="F184" s="2535"/>
      <c r="G184" s="2533">
        <v>45016</v>
      </c>
      <c r="H184" s="2534"/>
      <c r="I184" s="2535"/>
      <c r="J184" s="357">
        <v>31</v>
      </c>
      <c r="K184" s="349"/>
      <c r="L184" s="350"/>
      <c r="M184" s="351"/>
      <c r="N184" s="352"/>
      <c r="O184" s="353"/>
      <c r="P184" s="350"/>
      <c r="Q184" s="354"/>
      <c r="R184" s="356">
        <v>0.6</v>
      </c>
      <c r="S184" s="357" t="s">
        <v>156</v>
      </c>
      <c r="T184" s="355">
        <v>7</v>
      </c>
      <c r="U184" s="408"/>
      <c r="V184" s="306" t="e">
        <f>#REF!</f>
        <v>#REF!</v>
      </c>
    </row>
    <row r="185" spans="1:27" s="175" customFormat="1">
      <c r="A185" s="1110"/>
      <c r="B185" s="348"/>
      <c r="C185" s="339" t="s">
        <v>901</v>
      </c>
      <c r="D185" s="2533">
        <v>44670</v>
      </c>
      <c r="E185" s="2534"/>
      <c r="F185" s="2535"/>
      <c r="G185" s="2536">
        <v>44834</v>
      </c>
      <c r="H185" s="2537"/>
      <c r="I185" s="2538"/>
      <c r="J185" s="340">
        <v>30</v>
      </c>
      <c r="K185" s="340"/>
      <c r="L185" s="340"/>
      <c r="M185" s="340"/>
      <c r="N185" s="340"/>
      <c r="O185" s="340"/>
      <c r="P185" s="461"/>
      <c r="Q185" s="340"/>
      <c r="R185" s="462">
        <v>0.4</v>
      </c>
      <c r="S185" s="340" t="s">
        <v>156</v>
      </c>
      <c r="T185" s="347">
        <v>12</v>
      </c>
      <c r="U185" s="812" t="s">
        <v>493</v>
      </c>
      <c r="V185" s="306"/>
    </row>
    <row r="186" spans="1:27" s="175" customFormat="1">
      <c r="A186" s="1110"/>
      <c r="B186" s="348"/>
      <c r="C186" s="339" t="s">
        <v>901</v>
      </c>
      <c r="D186" s="2533">
        <v>44652</v>
      </c>
      <c r="E186" s="2534"/>
      <c r="F186" s="2535"/>
      <c r="G186" s="2536">
        <v>44822</v>
      </c>
      <c r="H186" s="2537"/>
      <c r="I186" s="2538"/>
      <c r="J186" s="340">
        <v>18</v>
      </c>
      <c r="K186" s="340"/>
      <c r="L186" s="340"/>
      <c r="M186" s="340"/>
      <c r="N186" s="340"/>
      <c r="O186" s="340"/>
      <c r="P186" s="461"/>
      <c r="Q186" s="340"/>
      <c r="R186" s="462">
        <v>0.4</v>
      </c>
      <c r="S186" s="340" t="s">
        <v>156</v>
      </c>
      <c r="T186" s="347">
        <v>12</v>
      </c>
      <c r="U186" s="812" t="s">
        <v>493</v>
      </c>
      <c r="V186" s="306"/>
    </row>
    <row r="187" spans="1:27" s="175" customFormat="1">
      <c r="A187" s="1110"/>
      <c r="B187" s="348"/>
      <c r="C187" s="339" t="s">
        <v>568</v>
      </c>
      <c r="D187" s="2533">
        <v>44670</v>
      </c>
      <c r="E187" s="2534"/>
      <c r="F187" s="2535"/>
      <c r="G187" s="2536">
        <v>44834</v>
      </c>
      <c r="H187" s="2537"/>
      <c r="I187" s="2538"/>
      <c r="J187" s="340">
        <v>30</v>
      </c>
      <c r="K187" s="340"/>
      <c r="L187" s="340"/>
      <c r="M187" s="340"/>
      <c r="N187" s="340"/>
      <c r="O187" s="340"/>
      <c r="P187" s="461"/>
      <c r="Q187" s="340"/>
      <c r="R187" s="462">
        <f>J187/30</f>
        <v>1</v>
      </c>
      <c r="S187" s="340" t="s">
        <v>156</v>
      </c>
      <c r="T187" s="347">
        <v>12</v>
      </c>
      <c r="U187" s="812" t="s">
        <v>494</v>
      </c>
      <c r="V187" s="306"/>
    </row>
    <row r="188" spans="1:27" s="175" customFormat="1">
      <c r="A188" s="1110"/>
      <c r="B188" s="348"/>
      <c r="C188" s="339" t="s">
        <v>569</v>
      </c>
      <c r="D188" s="2533">
        <v>44682</v>
      </c>
      <c r="E188" s="2534"/>
      <c r="F188" s="2535"/>
      <c r="G188" s="2536">
        <v>44865</v>
      </c>
      <c r="H188" s="2537"/>
      <c r="I188" s="2538"/>
      <c r="J188" s="1604">
        <v>31</v>
      </c>
      <c r="K188" s="560"/>
      <c r="L188" s="340"/>
      <c r="M188" s="463"/>
      <c r="N188" s="464"/>
      <c r="O188" s="560"/>
      <c r="P188" s="461"/>
      <c r="Q188" s="463"/>
      <c r="R188" s="462">
        <v>1</v>
      </c>
      <c r="S188" s="340" t="s">
        <v>156</v>
      </c>
      <c r="T188" s="347">
        <v>12</v>
      </c>
      <c r="U188" s="812" t="s">
        <v>494</v>
      </c>
      <c r="V188" s="306"/>
    </row>
    <row r="189" spans="1:27" s="175" customFormat="1">
      <c r="A189" s="1110"/>
      <c r="B189" s="348"/>
      <c r="C189" s="343" t="s">
        <v>902</v>
      </c>
      <c r="D189" s="2533">
        <v>44713</v>
      </c>
      <c r="E189" s="2534"/>
      <c r="F189" s="2535"/>
      <c r="G189" s="2533">
        <v>44895</v>
      </c>
      <c r="H189" s="2534"/>
      <c r="I189" s="2535"/>
      <c r="J189" s="340">
        <v>30</v>
      </c>
      <c r="K189" s="344"/>
      <c r="L189" s="344"/>
      <c r="M189" s="344"/>
      <c r="N189" s="344"/>
      <c r="O189" s="345"/>
      <c r="P189" s="344"/>
      <c r="Q189" s="345"/>
      <c r="R189" s="346">
        <v>1</v>
      </c>
      <c r="S189" s="340" t="s">
        <v>156</v>
      </c>
      <c r="T189" s="347">
        <v>12</v>
      </c>
      <c r="U189" s="812" t="s">
        <v>494</v>
      </c>
      <c r="V189" s="306"/>
    </row>
    <row r="190" spans="1:27" s="175" customFormat="1">
      <c r="A190" s="1110"/>
      <c r="B190" s="348"/>
      <c r="C190" s="343" t="s">
        <v>903</v>
      </c>
      <c r="D190" s="2533">
        <v>44743</v>
      </c>
      <c r="E190" s="2534"/>
      <c r="F190" s="2535"/>
      <c r="G190" s="2533">
        <v>44926</v>
      </c>
      <c r="H190" s="2534"/>
      <c r="I190" s="2535"/>
      <c r="J190" s="340">
        <v>31</v>
      </c>
      <c r="K190" s="349"/>
      <c r="L190" s="350"/>
      <c r="M190" s="351"/>
      <c r="N190" s="352"/>
      <c r="O190" s="353"/>
      <c r="P190" s="350"/>
      <c r="Q190" s="354"/>
      <c r="R190" s="346">
        <v>1</v>
      </c>
      <c r="S190" s="340" t="s">
        <v>156</v>
      </c>
      <c r="T190" s="347">
        <v>12</v>
      </c>
      <c r="U190" s="812" t="s">
        <v>494</v>
      </c>
      <c r="V190" s="306"/>
    </row>
    <row r="191" spans="1:27" s="175" customFormat="1">
      <c r="A191" s="1110"/>
      <c r="B191" s="348"/>
      <c r="C191" s="1518" t="s">
        <v>904</v>
      </c>
      <c r="D191" s="2533">
        <v>45139</v>
      </c>
      <c r="E191" s="2534"/>
      <c r="F191" s="2535"/>
      <c r="G191" s="2533">
        <v>44957</v>
      </c>
      <c r="H191" s="2534"/>
      <c r="I191" s="2535"/>
      <c r="J191" s="357">
        <v>31</v>
      </c>
      <c r="K191" s="349"/>
      <c r="L191" s="350"/>
      <c r="M191" s="351"/>
      <c r="N191" s="352"/>
      <c r="O191" s="353"/>
      <c r="P191" s="350"/>
      <c r="Q191" s="354"/>
      <c r="R191" s="356">
        <v>1</v>
      </c>
      <c r="S191" s="357" t="s">
        <v>156</v>
      </c>
      <c r="T191" s="355">
        <v>12</v>
      </c>
      <c r="U191" s="812" t="s">
        <v>494</v>
      </c>
      <c r="V191" s="306"/>
    </row>
    <row r="192" spans="1:27" s="175" customFormat="1" ht="17.45" customHeight="1">
      <c r="A192" s="1110"/>
      <c r="B192" s="348"/>
      <c r="C192" s="339" t="s">
        <v>279</v>
      </c>
      <c r="D192" s="2533">
        <v>44823</v>
      </c>
      <c r="E192" s="2534"/>
      <c r="F192" s="2535"/>
      <c r="G192" s="2536">
        <v>44834</v>
      </c>
      <c r="H192" s="2537"/>
      <c r="I192" s="2538"/>
      <c r="J192" s="340">
        <f>G192-D192+1</f>
        <v>12</v>
      </c>
      <c r="K192" s="340"/>
      <c r="L192" s="340"/>
      <c r="M192" s="340"/>
      <c r="N192" s="340"/>
      <c r="O192" s="340"/>
      <c r="P192" s="461"/>
      <c r="Q192" s="340"/>
      <c r="R192" s="462">
        <f>J192/30</f>
        <v>0.4</v>
      </c>
      <c r="S192" s="340" t="s">
        <v>156</v>
      </c>
      <c r="T192" s="355">
        <v>12</v>
      </c>
      <c r="U192" s="408" t="s">
        <v>495</v>
      </c>
      <c r="V192" s="306"/>
    </row>
    <row r="193" spans="1:22" s="175" customFormat="1" ht="17.45" customHeight="1">
      <c r="A193" s="1110"/>
      <c r="B193" s="348"/>
      <c r="C193" s="339" t="s">
        <v>280</v>
      </c>
      <c r="D193" s="2533">
        <v>44835</v>
      </c>
      <c r="E193" s="2534"/>
      <c r="F193" s="2535"/>
      <c r="G193" s="2536">
        <v>44865</v>
      </c>
      <c r="H193" s="2537"/>
      <c r="I193" s="2538"/>
      <c r="J193" s="1604">
        <v>31</v>
      </c>
      <c r="K193" s="1125"/>
      <c r="L193" s="1604"/>
      <c r="M193" s="1136"/>
      <c r="N193" s="298"/>
      <c r="O193" s="1125"/>
      <c r="P193" s="1697"/>
      <c r="Q193" s="1136"/>
      <c r="R193" s="1121">
        <v>1</v>
      </c>
      <c r="S193" s="392" t="s">
        <v>156</v>
      </c>
      <c r="T193" s="355">
        <v>12</v>
      </c>
      <c r="U193" s="408" t="s">
        <v>495</v>
      </c>
      <c r="V193" s="306"/>
    </row>
    <row r="194" spans="1:22" s="175" customFormat="1" ht="17.45" customHeight="1">
      <c r="A194" s="1110"/>
      <c r="B194" s="348"/>
      <c r="C194" s="339" t="s">
        <v>281</v>
      </c>
      <c r="D194" s="2533">
        <v>44866</v>
      </c>
      <c r="E194" s="2534"/>
      <c r="F194" s="2535"/>
      <c r="G194" s="2533">
        <v>44895</v>
      </c>
      <c r="H194" s="2534"/>
      <c r="I194" s="2535"/>
      <c r="J194" s="340">
        <v>30</v>
      </c>
      <c r="K194" s="344"/>
      <c r="L194" s="344"/>
      <c r="M194" s="344"/>
      <c r="N194" s="344"/>
      <c r="O194" s="345"/>
      <c r="P194" s="344"/>
      <c r="Q194" s="345"/>
      <c r="R194" s="346">
        <v>1</v>
      </c>
      <c r="S194" s="406" t="s">
        <v>156</v>
      </c>
      <c r="T194" s="355">
        <v>12</v>
      </c>
      <c r="U194" s="408" t="s">
        <v>495</v>
      </c>
      <c r="V194" s="306"/>
    </row>
    <row r="195" spans="1:22" s="175" customFormat="1" ht="17.45" customHeight="1">
      <c r="A195" s="1110"/>
      <c r="B195" s="348"/>
      <c r="C195" s="343" t="s">
        <v>282</v>
      </c>
      <c r="D195" s="2533">
        <v>44896</v>
      </c>
      <c r="E195" s="2534"/>
      <c r="F195" s="2535"/>
      <c r="G195" s="2533">
        <v>44926</v>
      </c>
      <c r="H195" s="2534"/>
      <c r="I195" s="2535"/>
      <c r="J195" s="340">
        <v>31</v>
      </c>
      <c r="K195" s="349"/>
      <c r="L195" s="350"/>
      <c r="M195" s="351"/>
      <c r="N195" s="352"/>
      <c r="O195" s="353"/>
      <c r="P195" s="350"/>
      <c r="Q195" s="354"/>
      <c r="R195" s="346">
        <v>1</v>
      </c>
      <c r="S195" s="340" t="s">
        <v>156</v>
      </c>
      <c r="T195" s="355">
        <v>12</v>
      </c>
      <c r="U195" s="408" t="s">
        <v>495</v>
      </c>
      <c r="V195" s="306"/>
    </row>
    <row r="196" spans="1:22" s="175" customFormat="1" ht="17.45" customHeight="1">
      <c r="A196" s="1110"/>
      <c r="B196" s="348"/>
      <c r="C196" s="343" t="s">
        <v>283</v>
      </c>
      <c r="D196" s="2533">
        <v>44927</v>
      </c>
      <c r="E196" s="2534"/>
      <c r="F196" s="2535"/>
      <c r="G196" s="2533">
        <v>44957</v>
      </c>
      <c r="H196" s="2534"/>
      <c r="I196" s="2535"/>
      <c r="J196" s="340">
        <v>31</v>
      </c>
      <c r="K196" s="349"/>
      <c r="L196" s="350"/>
      <c r="M196" s="351"/>
      <c r="N196" s="352"/>
      <c r="O196" s="353"/>
      <c r="P196" s="350"/>
      <c r="Q196" s="354"/>
      <c r="R196" s="356">
        <v>1</v>
      </c>
      <c r="S196" s="340" t="s">
        <v>156</v>
      </c>
      <c r="T196" s="355">
        <v>12</v>
      </c>
      <c r="U196" s="408" t="s">
        <v>495</v>
      </c>
      <c r="V196" s="306"/>
    </row>
    <row r="197" spans="1:22" s="175" customFormat="1" ht="17.45" customHeight="1">
      <c r="A197" s="1110"/>
      <c r="B197" s="348"/>
      <c r="C197" s="343" t="s">
        <v>284</v>
      </c>
      <c r="D197" s="2533">
        <v>44958</v>
      </c>
      <c r="E197" s="2534"/>
      <c r="F197" s="2535"/>
      <c r="G197" s="2533">
        <v>44985</v>
      </c>
      <c r="H197" s="2534"/>
      <c r="I197" s="2535"/>
      <c r="J197" s="357">
        <v>28</v>
      </c>
      <c r="K197" s="349"/>
      <c r="L197" s="350"/>
      <c r="M197" s="351"/>
      <c r="N197" s="352"/>
      <c r="O197" s="353"/>
      <c r="P197" s="350"/>
      <c r="Q197" s="354"/>
      <c r="R197" s="356">
        <v>1</v>
      </c>
      <c r="S197" s="357" t="s">
        <v>156</v>
      </c>
      <c r="T197" s="355">
        <v>12</v>
      </c>
      <c r="U197" s="408" t="s">
        <v>495</v>
      </c>
      <c r="V197" s="306"/>
    </row>
    <row r="198" spans="1:22" s="175" customFormat="1" ht="17.45" customHeight="1">
      <c r="A198" s="1110"/>
      <c r="B198" s="348"/>
      <c r="C198" s="343" t="s">
        <v>285</v>
      </c>
      <c r="D198" s="2533">
        <v>44986</v>
      </c>
      <c r="E198" s="2534"/>
      <c r="F198" s="2535"/>
      <c r="G198" s="2533">
        <v>45016</v>
      </c>
      <c r="H198" s="2534"/>
      <c r="I198" s="2535"/>
      <c r="J198" s="357">
        <v>31</v>
      </c>
      <c r="K198" s="349"/>
      <c r="L198" s="350"/>
      <c r="M198" s="351"/>
      <c r="N198" s="352"/>
      <c r="O198" s="353"/>
      <c r="P198" s="350"/>
      <c r="Q198" s="354"/>
      <c r="R198" s="356">
        <v>0.6</v>
      </c>
      <c r="S198" s="357" t="s">
        <v>156</v>
      </c>
      <c r="T198" s="355">
        <v>12</v>
      </c>
      <c r="U198" s="408" t="s">
        <v>495</v>
      </c>
      <c r="V198" s="306"/>
    </row>
    <row r="199" spans="1:22" s="175" customFormat="1" ht="17.45" customHeight="1">
      <c r="A199" s="1110"/>
      <c r="B199" s="348"/>
      <c r="C199" s="339" t="s">
        <v>568</v>
      </c>
      <c r="D199" s="2533">
        <v>44670</v>
      </c>
      <c r="E199" s="2534"/>
      <c r="F199" s="2535"/>
      <c r="G199" s="2536">
        <v>44834</v>
      </c>
      <c r="H199" s="2537"/>
      <c r="I199" s="2538"/>
      <c r="J199" s="340">
        <v>30</v>
      </c>
      <c r="K199" s="340"/>
      <c r="L199" s="340"/>
      <c r="M199" s="340"/>
      <c r="N199" s="340"/>
      <c r="O199" s="340"/>
      <c r="P199" s="461"/>
      <c r="Q199" s="340"/>
      <c r="R199" s="462">
        <f>J199/30</f>
        <v>1</v>
      </c>
      <c r="S199" s="340" t="s">
        <v>156</v>
      </c>
      <c r="T199" s="355">
        <v>12</v>
      </c>
      <c r="U199" s="408" t="s">
        <v>495</v>
      </c>
      <c r="V199" s="306"/>
    </row>
    <row r="200" spans="1:22" s="175" customFormat="1" ht="17.45" customHeight="1">
      <c r="A200" s="1110"/>
      <c r="B200" s="348"/>
      <c r="C200" s="339" t="s">
        <v>569</v>
      </c>
      <c r="D200" s="2533">
        <v>44682</v>
      </c>
      <c r="E200" s="2534"/>
      <c r="F200" s="2535"/>
      <c r="G200" s="2536">
        <v>44865</v>
      </c>
      <c r="H200" s="2537"/>
      <c r="I200" s="2538"/>
      <c r="J200" s="1604">
        <v>31</v>
      </c>
      <c r="K200" s="560"/>
      <c r="L200" s="340"/>
      <c r="M200" s="463"/>
      <c r="N200" s="464"/>
      <c r="O200" s="560"/>
      <c r="P200" s="461"/>
      <c r="Q200" s="463"/>
      <c r="R200" s="462">
        <v>1</v>
      </c>
      <c r="S200" s="340" t="s">
        <v>156</v>
      </c>
      <c r="T200" s="355">
        <v>12</v>
      </c>
      <c r="U200" s="408" t="s">
        <v>495</v>
      </c>
      <c r="V200" s="306"/>
    </row>
    <row r="201" spans="1:22" s="175" customFormat="1" ht="17.45" customHeight="1">
      <c r="A201" s="1110"/>
      <c r="B201" s="348"/>
      <c r="C201" s="343" t="s">
        <v>570</v>
      </c>
      <c r="D201" s="2533">
        <v>44713</v>
      </c>
      <c r="E201" s="2534"/>
      <c r="F201" s="2535"/>
      <c r="G201" s="2533">
        <v>44895</v>
      </c>
      <c r="H201" s="2534"/>
      <c r="I201" s="2535"/>
      <c r="J201" s="340">
        <v>30</v>
      </c>
      <c r="K201" s="344"/>
      <c r="L201" s="344"/>
      <c r="M201" s="344"/>
      <c r="N201" s="344"/>
      <c r="O201" s="345"/>
      <c r="P201" s="344"/>
      <c r="Q201" s="345"/>
      <c r="R201" s="346">
        <v>1</v>
      </c>
      <c r="S201" s="340" t="s">
        <v>156</v>
      </c>
      <c r="T201" s="355">
        <v>12</v>
      </c>
      <c r="U201" s="408" t="s">
        <v>495</v>
      </c>
      <c r="V201" s="306"/>
    </row>
    <row r="202" spans="1:22" s="175" customFormat="1" ht="17.45" customHeight="1">
      <c r="A202" s="1110"/>
      <c r="B202" s="348"/>
      <c r="C202" s="343" t="s">
        <v>571</v>
      </c>
      <c r="D202" s="2533">
        <v>44743</v>
      </c>
      <c r="E202" s="2534"/>
      <c r="F202" s="2535"/>
      <c r="G202" s="2533">
        <v>44926</v>
      </c>
      <c r="H202" s="2534"/>
      <c r="I202" s="2535"/>
      <c r="J202" s="340">
        <v>31</v>
      </c>
      <c r="K202" s="349"/>
      <c r="L202" s="350"/>
      <c r="M202" s="351"/>
      <c r="N202" s="352"/>
      <c r="O202" s="353"/>
      <c r="P202" s="350"/>
      <c r="Q202" s="354"/>
      <c r="R202" s="346">
        <v>1</v>
      </c>
      <c r="S202" s="340" t="s">
        <v>156</v>
      </c>
      <c r="T202" s="355">
        <v>12</v>
      </c>
      <c r="U202" s="408" t="s">
        <v>495</v>
      </c>
      <c r="V202" s="306"/>
    </row>
    <row r="203" spans="1:22" s="175" customFormat="1" ht="17.45" customHeight="1">
      <c r="A203" s="1110"/>
      <c r="B203" s="342"/>
      <c r="C203" s="339" t="s">
        <v>572</v>
      </c>
      <c r="D203" s="2533">
        <v>45170</v>
      </c>
      <c r="E203" s="2534"/>
      <c r="F203" s="2535"/>
      <c r="G203" s="2533">
        <v>45199</v>
      </c>
      <c r="H203" s="2534"/>
      <c r="I203" s="2535"/>
      <c r="J203" s="340">
        <v>30</v>
      </c>
      <c r="K203" s="504"/>
      <c r="L203" s="344"/>
      <c r="M203" s="505"/>
      <c r="N203" s="506"/>
      <c r="O203" s="406"/>
      <c r="P203" s="344"/>
      <c r="Q203" s="507"/>
      <c r="R203" s="346">
        <v>1</v>
      </c>
      <c r="S203" s="340" t="s">
        <v>156</v>
      </c>
      <c r="T203" s="347">
        <v>13</v>
      </c>
      <c r="U203" s="341"/>
      <c r="V203" s="306"/>
    </row>
    <row r="204" spans="1:22" s="175" customFormat="1" ht="17.45" customHeight="1">
      <c r="A204" s="1110"/>
      <c r="B204" s="342"/>
      <c r="C204" s="339" t="s">
        <v>589</v>
      </c>
      <c r="D204" s="2533">
        <v>45200</v>
      </c>
      <c r="E204" s="2534"/>
      <c r="F204" s="2535"/>
      <c r="G204" s="2533">
        <v>45230</v>
      </c>
      <c r="H204" s="2534"/>
      <c r="I204" s="2535"/>
      <c r="J204" s="340">
        <v>30</v>
      </c>
      <c r="K204" s="504"/>
      <c r="L204" s="344"/>
      <c r="M204" s="505"/>
      <c r="N204" s="506"/>
      <c r="O204" s="406"/>
      <c r="P204" s="344"/>
      <c r="Q204" s="507"/>
      <c r="R204" s="346">
        <v>1</v>
      </c>
      <c r="S204" s="340" t="s">
        <v>156</v>
      </c>
      <c r="T204" s="347">
        <v>14</v>
      </c>
      <c r="U204" s="341"/>
      <c r="V204" s="306"/>
    </row>
    <row r="205" spans="1:22" s="175" customFormat="1" ht="17.45" customHeight="1">
      <c r="A205" s="1110"/>
      <c r="B205" s="342"/>
      <c r="C205" s="339" t="s">
        <v>600</v>
      </c>
      <c r="D205" s="2533">
        <v>45231</v>
      </c>
      <c r="E205" s="2534"/>
      <c r="F205" s="2535"/>
      <c r="G205" s="2533">
        <v>45260</v>
      </c>
      <c r="H205" s="2534"/>
      <c r="I205" s="2535"/>
      <c r="J205" s="340">
        <v>30</v>
      </c>
      <c r="K205" s="504"/>
      <c r="L205" s="344"/>
      <c r="M205" s="505"/>
      <c r="N205" s="506"/>
      <c r="O205" s="406"/>
      <c r="P205" s="344"/>
      <c r="Q205" s="507"/>
      <c r="R205" s="346">
        <v>1</v>
      </c>
      <c r="S205" s="340" t="s">
        <v>156</v>
      </c>
      <c r="T205" s="347">
        <v>15</v>
      </c>
      <c r="U205" s="341"/>
      <c r="V205" s="306"/>
    </row>
    <row r="206" spans="1:22" s="175" customFormat="1" ht="17.45" customHeight="1">
      <c r="A206" s="1110"/>
      <c r="B206" s="342"/>
      <c r="C206" s="339" t="s">
        <v>649</v>
      </c>
      <c r="D206" s="2533">
        <v>45261</v>
      </c>
      <c r="E206" s="2534"/>
      <c r="F206" s="2535"/>
      <c r="G206" s="2533">
        <v>45291</v>
      </c>
      <c r="H206" s="2534"/>
      <c r="I206" s="2535"/>
      <c r="J206" s="340">
        <v>30</v>
      </c>
      <c r="K206" s="504"/>
      <c r="L206" s="344"/>
      <c r="M206" s="505"/>
      <c r="N206" s="506"/>
      <c r="O206" s="406"/>
      <c r="P206" s="344"/>
      <c r="Q206" s="507"/>
      <c r="R206" s="346">
        <v>1</v>
      </c>
      <c r="S206" s="340" t="s">
        <v>156</v>
      </c>
      <c r="T206" s="347">
        <v>16</v>
      </c>
      <c r="U206" s="341"/>
      <c r="V206" s="306"/>
    </row>
    <row r="207" spans="1:22" s="175" customFormat="1">
      <c r="A207" s="1110"/>
      <c r="B207" s="342"/>
      <c r="C207" s="339" t="s">
        <v>663</v>
      </c>
      <c r="D207" s="2533">
        <v>45292</v>
      </c>
      <c r="E207" s="2534"/>
      <c r="F207" s="2535"/>
      <c r="G207" s="2533">
        <v>45322</v>
      </c>
      <c r="H207" s="2534"/>
      <c r="I207" s="2535"/>
      <c r="J207" s="340">
        <v>31</v>
      </c>
      <c r="K207" s="504"/>
      <c r="L207" s="344"/>
      <c r="M207" s="505"/>
      <c r="N207" s="506"/>
      <c r="O207" s="406"/>
      <c r="P207" s="344"/>
      <c r="Q207" s="507"/>
      <c r="R207" s="346">
        <v>1</v>
      </c>
      <c r="S207" s="340" t="s">
        <v>156</v>
      </c>
      <c r="T207" s="347">
        <v>17</v>
      </c>
      <c r="U207" s="341"/>
      <c r="V207" s="306"/>
    </row>
    <row r="208" spans="1:22" s="175" customFormat="1">
      <c r="A208" s="1110"/>
      <c r="B208" s="342"/>
      <c r="C208" s="339" t="s">
        <v>702</v>
      </c>
      <c r="D208" s="2533">
        <v>45323</v>
      </c>
      <c r="E208" s="2534"/>
      <c r="F208" s="2535"/>
      <c r="G208" s="2533">
        <v>45351</v>
      </c>
      <c r="H208" s="2534"/>
      <c r="I208" s="2535"/>
      <c r="J208" s="340">
        <v>29</v>
      </c>
      <c r="K208" s="504"/>
      <c r="L208" s="344"/>
      <c r="M208" s="505"/>
      <c r="N208" s="506"/>
      <c r="O208" s="406"/>
      <c r="P208" s="344"/>
      <c r="Q208" s="507"/>
      <c r="R208" s="346">
        <v>1</v>
      </c>
      <c r="S208" s="340" t="s">
        <v>156</v>
      </c>
      <c r="T208" s="347">
        <v>18</v>
      </c>
      <c r="U208" s="341"/>
      <c r="V208" s="306"/>
    </row>
    <row r="209" spans="1:22" s="175" customFormat="1">
      <c r="A209" s="1110"/>
      <c r="B209" s="342"/>
      <c r="C209" s="339" t="s">
        <v>739</v>
      </c>
      <c r="D209" s="2533">
        <v>45352</v>
      </c>
      <c r="E209" s="2534"/>
      <c r="F209" s="2535"/>
      <c r="G209" s="2533">
        <v>45382</v>
      </c>
      <c r="H209" s="2534"/>
      <c r="I209" s="2535"/>
      <c r="J209" s="340">
        <v>30</v>
      </c>
      <c r="K209" s="504"/>
      <c r="L209" s="344"/>
      <c r="M209" s="505"/>
      <c r="N209" s="506"/>
      <c r="O209" s="406"/>
      <c r="P209" s="344"/>
      <c r="Q209" s="507"/>
      <c r="R209" s="346">
        <v>1</v>
      </c>
      <c r="S209" s="340" t="s">
        <v>156</v>
      </c>
      <c r="T209" s="347">
        <v>19</v>
      </c>
      <c r="U209" s="341"/>
      <c r="V209" s="306"/>
    </row>
    <row r="210" spans="1:22" s="175" customFormat="1" ht="16.5" customHeight="1">
      <c r="A210" s="1110"/>
      <c r="B210" s="342"/>
      <c r="C210" s="339" t="s">
        <v>740</v>
      </c>
      <c r="D210" s="2533">
        <f t="shared" ref="D210:D215" si="11">D159</f>
        <v>45383</v>
      </c>
      <c r="E210" s="2534"/>
      <c r="F210" s="2535"/>
      <c r="G210" s="2533" t="str">
        <f>G159</f>
        <v>31/04/2024</v>
      </c>
      <c r="H210" s="2534"/>
      <c r="I210" s="2535"/>
      <c r="J210" s="340">
        <f t="shared" ref="J210:J215" si="12">J159</f>
        <v>30</v>
      </c>
      <c r="K210" s="504"/>
      <c r="L210" s="344"/>
      <c r="M210" s="505"/>
      <c r="N210" s="506"/>
      <c r="O210" s="406"/>
      <c r="P210" s="344"/>
      <c r="Q210" s="507"/>
      <c r="R210" s="346">
        <v>1</v>
      </c>
      <c r="S210" s="340" t="s">
        <v>156</v>
      </c>
      <c r="T210" s="347">
        <v>20</v>
      </c>
      <c r="U210" s="341"/>
      <c r="V210" s="306"/>
    </row>
    <row r="211" spans="1:22" s="175" customFormat="1" ht="16.5" customHeight="1">
      <c r="A211" s="1110"/>
      <c r="B211" s="342"/>
      <c r="C211" s="339" t="s">
        <v>771</v>
      </c>
      <c r="D211" s="2533">
        <f t="shared" si="11"/>
        <v>45413</v>
      </c>
      <c r="E211" s="2534"/>
      <c r="F211" s="2535"/>
      <c r="G211" s="2533">
        <f>G160</f>
        <v>45443</v>
      </c>
      <c r="H211" s="2534"/>
      <c r="I211" s="2535"/>
      <c r="J211" s="340">
        <f t="shared" si="12"/>
        <v>31</v>
      </c>
      <c r="K211" s="504"/>
      <c r="L211" s="344"/>
      <c r="M211" s="505"/>
      <c r="N211" s="506"/>
      <c r="O211" s="406"/>
      <c r="P211" s="344"/>
      <c r="Q211" s="507"/>
      <c r="R211" s="346">
        <v>1</v>
      </c>
      <c r="S211" s="340" t="s">
        <v>156</v>
      </c>
      <c r="T211" s="347">
        <v>21</v>
      </c>
      <c r="U211" s="341"/>
      <c r="V211" s="306"/>
    </row>
    <row r="212" spans="1:22" s="175" customFormat="1" ht="16.5" customHeight="1">
      <c r="A212" s="1110"/>
      <c r="B212" s="342"/>
      <c r="C212" s="339" t="s">
        <v>853</v>
      </c>
      <c r="D212" s="2533">
        <f t="shared" si="11"/>
        <v>45444</v>
      </c>
      <c r="E212" s="2534"/>
      <c r="F212" s="2535"/>
      <c r="G212" s="2533" t="str">
        <f>G161</f>
        <v>31/06/2024</v>
      </c>
      <c r="H212" s="2534"/>
      <c r="I212" s="2535"/>
      <c r="J212" s="340">
        <f t="shared" si="12"/>
        <v>30</v>
      </c>
      <c r="K212" s="352"/>
      <c r="L212" s="344"/>
      <c r="M212" s="505"/>
      <c r="N212" s="506"/>
      <c r="O212" s="406"/>
      <c r="P212" s="344"/>
      <c r="Q212" s="507"/>
      <c r="R212" s="346">
        <v>1</v>
      </c>
      <c r="S212" s="340" t="s">
        <v>156</v>
      </c>
      <c r="T212" s="347">
        <v>22</v>
      </c>
      <c r="U212" s="341"/>
      <c r="V212" s="306"/>
    </row>
    <row r="213" spans="1:22" s="175" customFormat="1" ht="16.5" customHeight="1">
      <c r="A213" s="1110"/>
      <c r="B213" s="342"/>
      <c r="C213" s="339" t="s">
        <v>854</v>
      </c>
      <c r="D213" s="2533">
        <f t="shared" si="11"/>
        <v>45474</v>
      </c>
      <c r="E213" s="2534"/>
      <c r="F213" s="2535"/>
      <c r="G213" s="2533">
        <f>G162</f>
        <v>45504</v>
      </c>
      <c r="H213" s="2534"/>
      <c r="I213" s="2535"/>
      <c r="J213" s="340">
        <f t="shared" si="12"/>
        <v>31</v>
      </c>
      <c r="K213" s="352"/>
      <c r="L213" s="344"/>
      <c r="M213" s="505"/>
      <c r="N213" s="506"/>
      <c r="O213" s="406"/>
      <c r="P213" s="344"/>
      <c r="Q213" s="507"/>
      <c r="R213" s="346">
        <v>1</v>
      </c>
      <c r="S213" s="340" t="s">
        <v>156</v>
      </c>
      <c r="T213" s="347">
        <v>22</v>
      </c>
      <c r="U213" s="341"/>
      <c r="V213" s="306"/>
    </row>
    <row r="214" spans="1:22" s="175" customFormat="1" ht="16.5" customHeight="1">
      <c r="A214" s="1110"/>
      <c r="B214" s="342"/>
      <c r="C214" s="339" t="s">
        <v>918</v>
      </c>
      <c r="D214" s="2533">
        <f t="shared" si="11"/>
        <v>45505</v>
      </c>
      <c r="E214" s="2534"/>
      <c r="F214" s="2535"/>
      <c r="G214" s="2533">
        <f>G163</f>
        <v>45534</v>
      </c>
      <c r="H214" s="2534"/>
      <c r="I214" s="2535"/>
      <c r="J214" s="340">
        <f t="shared" si="12"/>
        <v>30</v>
      </c>
      <c r="K214" s="352"/>
      <c r="L214" s="344"/>
      <c r="M214" s="505"/>
      <c r="N214" s="506"/>
      <c r="O214" s="406"/>
      <c r="P214" s="344"/>
      <c r="Q214" s="507"/>
      <c r="R214" s="346">
        <v>1</v>
      </c>
      <c r="S214" s="340" t="s">
        <v>156</v>
      </c>
      <c r="T214" s="347">
        <f>T163</f>
        <v>23</v>
      </c>
      <c r="U214" s="341"/>
      <c r="V214" s="306"/>
    </row>
    <row r="215" spans="1:22" s="175" customFormat="1" ht="16.5" customHeight="1">
      <c r="A215" s="1110"/>
      <c r="B215" s="342"/>
      <c r="C215" s="339" t="s">
        <v>954</v>
      </c>
      <c r="D215" s="2533">
        <f t="shared" si="11"/>
        <v>45536</v>
      </c>
      <c r="E215" s="2534"/>
      <c r="F215" s="2535"/>
      <c r="G215" s="2533">
        <v>45565</v>
      </c>
      <c r="H215" s="2534"/>
      <c r="I215" s="2535"/>
      <c r="J215" s="340">
        <f t="shared" si="12"/>
        <v>19</v>
      </c>
      <c r="K215" s="352"/>
      <c r="L215" s="344"/>
      <c r="M215" s="505"/>
      <c r="N215" s="506"/>
      <c r="O215" s="406"/>
      <c r="P215" s="344"/>
      <c r="Q215" s="507"/>
      <c r="R215" s="346">
        <v>1</v>
      </c>
      <c r="S215" s="340" t="s">
        <v>156</v>
      </c>
      <c r="T215" s="347">
        <v>24</v>
      </c>
      <c r="U215" s="341"/>
      <c r="V215" s="306"/>
    </row>
    <row r="216" spans="1:22" s="175" customFormat="1" ht="16.5" customHeight="1">
      <c r="A216" s="1110"/>
      <c r="B216" s="342"/>
      <c r="C216" s="339" t="s">
        <v>1005</v>
      </c>
      <c r="D216" s="2533">
        <f t="shared" ref="D216:D221" si="13">D166</f>
        <v>45566</v>
      </c>
      <c r="E216" s="2534"/>
      <c r="F216" s="2535"/>
      <c r="G216" s="2533">
        <f t="shared" ref="G216:G221" si="14">G166</f>
        <v>45596</v>
      </c>
      <c r="H216" s="2534"/>
      <c r="I216" s="2535"/>
      <c r="J216" s="340">
        <f t="shared" ref="J216:J221" si="15">J166</f>
        <v>31</v>
      </c>
      <c r="K216" s="352"/>
      <c r="L216" s="344"/>
      <c r="M216" s="505"/>
      <c r="N216" s="506"/>
      <c r="O216" s="406"/>
      <c r="P216" s="344"/>
      <c r="Q216" s="507"/>
      <c r="R216" s="346">
        <v>1</v>
      </c>
      <c r="S216" s="340" t="s">
        <v>156</v>
      </c>
      <c r="T216" s="347">
        <v>25</v>
      </c>
      <c r="U216" s="341"/>
      <c r="V216" s="306"/>
    </row>
    <row r="217" spans="1:22" s="175" customFormat="1" ht="16.5" customHeight="1">
      <c r="A217" s="1110"/>
      <c r="B217" s="342"/>
      <c r="C217" s="339" t="s">
        <v>1006</v>
      </c>
      <c r="D217" s="2533">
        <f t="shared" si="13"/>
        <v>45597</v>
      </c>
      <c r="E217" s="2534"/>
      <c r="F217" s="2535"/>
      <c r="G217" s="2533">
        <f t="shared" si="14"/>
        <v>45626</v>
      </c>
      <c r="H217" s="2534"/>
      <c r="I217" s="2535"/>
      <c r="J217" s="340">
        <f t="shared" si="15"/>
        <v>30</v>
      </c>
      <c r="K217" s="352"/>
      <c r="L217" s="344"/>
      <c r="M217" s="505"/>
      <c r="N217" s="506"/>
      <c r="O217" s="406"/>
      <c r="P217" s="344"/>
      <c r="Q217" s="507"/>
      <c r="R217" s="346">
        <v>1</v>
      </c>
      <c r="S217" s="340" t="s">
        <v>156</v>
      </c>
      <c r="T217" s="347">
        <v>25</v>
      </c>
      <c r="U217" s="341"/>
      <c r="V217" s="306"/>
    </row>
    <row r="218" spans="1:22" s="175" customFormat="1" ht="16.5" customHeight="1">
      <c r="A218" s="1110"/>
      <c r="B218" s="342"/>
      <c r="C218" s="339" t="s">
        <v>1007</v>
      </c>
      <c r="D218" s="2533">
        <f t="shared" si="13"/>
        <v>45627</v>
      </c>
      <c r="E218" s="2534"/>
      <c r="F218" s="2535"/>
      <c r="G218" s="2533">
        <f t="shared" si="14"/>
        <v>45657</v>
      </c>
      <c r="H218" s="2534"/>
      <c r="I218" s="2535"/>
      <c r="J218" s="340">
        <f t="shared" si="15"/>
        <v>31</v>
      </c>
      <c r="K218" s="352"/>
      <c r="L218" s="344"/>
      <c r="M218" s="505"/>
      <c r="N218" s="506"/>
      <c r="O218" s="406"/>
      <c r="P218" s="344"/>
      <c r="Q218" s="507"/>
      <c r="R218" s="346">
        <v>1</v>
      </c>
      <c r="S218" s="340" t="s">
        <v>156</v>
      </c>
      <c r="T218" s="347">
        <v>25</v>
      </c>
      <c r="U218" s="341"/>
      <c r="V218" s="306"/>
    </row>
    <row r="219" spans="1:22" s="175" customFormat="1" ht="16.5" customHeight="1">
      <c r="A219" s="1110"/>
      <c r="B219" s="342"/>
      <c r="C219" s="339" t="s">
        <v>1008</v>
      </c>
      <c r="D219" s="2533">
        <f t="shared" si="13"/>
        <v>45658</v>
      </c>
      <c r="E219" s="2534"/>
      <c r="F219" s="2535"/>
      <c r="G219" s="2533">
        <f t="shared" si="14"/>
        <v>45688</v>
      </c>
      <c r="H219" s="2534"/>
      <c r="I219" s="2535"/>
      <c r="J219" s="340">
        <f t="shared" si="15"/>
        <v>31</v>
      </c>
      <c r="K219" s="344"/>
      <c r="L219" s="344"/>
      <c r="M219" s="505"/>
      <c r="N219" s="506"/>
      <c r="O219" s="406"/>
      <c r="P219" s="344"/>
      <c r="Q219" s="507"/>
      <c r="R219" s="346">
        <v>1</v>
      </c>
      <c r="S219" s="340" t="s">
        <v>156</v>
      </c>
      <c r="T219" s="347">
        <v>25</v>
      </c>
      <c r="U219" s="341"/>
      <c r="V219" s="306"/>
    </row>
    <row r="220" spans="1:22" s="175" customFormat="1" ht="16.5" customHeight="1">
      <c r="A220" s="1110"/>
      <c r="B220" s="342"/>
      <c r="C220" s="339" t="s">
        <v>1100</v>
      </c>
      <c r="D220" s="2533">
        <f t="shared" si="13"/>
        <v>45689</v>
      </c>
      <c r="E220" s="2534"/>
      <c r="F220" s="2535"/>
      <c r="G220" s="2533">
        <f t="shared" si="14"/>
        <v>45716</v>
      </c>
      <c r="H220" s="2534"/>
      <c r="I220" s="2535"/>
      <c r="J220" s="340">
        <f t="shared" si="15"/>
        <v>28</v>
      </c>
      <c r="K220" s="344"/>
      <c r="L220" s="344"/>
      <c r="M220" s="505"/>
      <c r="N220" s="506"/>
      <c r="O220" s="406"/>
      <c r="P220" s="344"/>
      <c r="Q220" s="507"/>
      <c r="R220" s="346">
        <v>1</v>
      </c>
      <c r="S220" s="340" t="s">
        <v>156</v>
      </c>
      <c r="T220" s="347">
        <v>26</v>
      </c>
      <c r="U220" s="341"/>
      <c r="V220" s="306"/>
    </row>
    <row r="221" spans="1:22" s="175" customFormat="1" ht="16.149999999999999" customHeight="1">
      <c r="A221" s="1110"/>
      <c r="B221" s="342"/>
      <c r="C221" s="339" t="s">
        <v>1101</v>
      </c>
      <c r="D221" s="2533">
        <f t="shared" si="13"/>
        <v>45717</v>
      </c>
      <c r="E221" s="2534"/>
      <c r="F221" s="2535"/>
      <c r="G221" s="2533">
        <f t="shared" si="14"/>
        <v>45747</v>
      </c>
      <c r="H221" s="2534"/>
      <c r="I221" s="2535"/>
      <c r="J221" s="340">
        <f t="shared" si="15"/>
        <v>31</v>
      </c>
      <c r="K221" s="344"/>
      <c r="L221" s="344"/>
      <c r="M221" s="505"/>
      <c r="N221" s="506"/>
      <c r="O221" s="406"/>
      <c r="P221" s="344"/>
      <c r="Q221" s="507"/>
      <c r="R221" s="346">
        <v>1</v>
      </c>
      <c r="S221" s="340" t="s">
        <v>156</v>
      </c>
      <c r="T221" s="347">
        <v>27</v>
      </c>
      <c r="U221" s="341"/>
      <c r="V221" s="306"/>
    </row>
    <row r="222" spans="1:22" s="175" customFormat="1" ht="16.149999999999999" customHeight="1">
      <c r="A222" s="1110"/>
      <c r="B222" s="756"/>
      <c r="C222" s="510" t="s">
        <v>1151</v>
      </c>
      <c r="D222" s="2545">
        <v>45748</v>
      </c>
      <c r="E222" s="2546"/>
      <c r="F222" s="2547"/>
      <c r="G222" s="2545">
        <v>45777</v>
      </c>
      <c r="H222" s="2546"/>
      <c r="I222" s="2547"/>
      <c r="J222" s="438">
        <v>30</v>
      </c>
      <c r="K222" s="440"/>
      <c r="L222" s="440"/>
      <c r="M222" s="799"/>
      <c r="N222" s="800"/>
      <c r="O222" s="758"/>
      <c r="P222" s="440"/>
      <c r="Q222" s="801"/>
      <c r="R222" s="757">
        <v>1</v>
      </c>
      <c r="S222" s="438" t="s">
        <v>156</v>
      </c>
      <c r="T222" s="441">
        <v>28</v>
      </c>
      <c r="U222" s="620"/>
      <c r="V222" s="306"/>
    </row>
    <row r="223" spans="1:22" s="175" customFormat="1" ht="16.149999999999999" customHeight="1">
      <c r="A223" s="1110"/>
      <c r="B223" s="756"/>
      <c r="C223" s="510" t="s">
        <v>1152</v>
      </c>
      <c r="D223" s="2545">
        <v>45778</v>
      </c>
      <c r="E223" s="2546"/>
      <c r="F223" s="2547"/>
      <c r="G223" s="2545">
        <v>45808</v>
      </c>
      <c r="H223" s="2546"/>
      <c r="I223" s="2547"/>
      <c r="J223" s="438">
        <v>31</v>
      </c>
      <c r="K223" s="440"/>
      <c r="L223" s="440"/>
      <c r="M223" s="799"/>
      <c r="N223" s="800"/>
      <c r="O223" s="758"/>
      <c r="P223" s="440"/>
      <c r="Q223" s="801"/>
      <c r="R223" s="757">
        <v>1</v>
      </c>
      <c r="S223" s="438" t="s">
        <v>156</v>
      </c>
      <c r="T223" s="441">
        <v>28</v>
      </c>
      <c r="U223" s="620"/>
      <c r="V223" s="306"/>
    </row>
    <row r="224" spans="1:22" s="175" customFormat="1" ht="16.149999999999999" customHeight="1">
      <c r="A224" s="1110"/>
      <c r="B224" s="756"/>
      <c r="C224" s="510" t="s">
        <v>1193</v>
      </c>
      <c r="D224" s="2545">
        <v>45809</v>
      </c>
      <c r="E224" s="2546"/>
      <c r="F224" s="2547"/>
      <c r="G224" s="2545" t="s">
        <v>1153</v>
      </c>
      <c r="H224" s="2546"/>
      <c r="I224" s="2547"/>
      <c r="J224" s="438">
        <v>30</v>
      </c>
      <c r="K224" s="440"/>
      <c r="L224" s="440"/>
      <c r="M224" s="799"/>
      <c r="N224" s="800"/>
      <c r="O224" s="758"/>
      <c r="P224" s="440"/>
      <c r="Q224" s="801"/>
      <c r="R224" s="757">
        <v>1</v>
      </c>
      <c r="S224" s="438" t="s">
        <v>156</v>
      </c>
      <c r="T224" s="441">
        <v>28</v>
      </c>
      <c r="U224" s="620"/>
      <c r="V224" s="306"/>
    </row>
    <row r="225" spans="1:27" s="175" customFormat="1" ht="16.149999999999999" customHeight="1">
      <c r="A225" s="1110"/>
      <c r="B225" s="756"/>
      <c r="C225" s="510" t="s">
        <v>1194</v>
      </c>
      <c r="D225" s="2545">
        <v>45839</v>
      </c>
      <c r="E225" s="2546"/>
      <c r="F225" s="2547"/>
      <c r="G225" s="2545">
        <v>45869</v>
      </c>
      <c r="H225" s="2546"/>
      <c r="I225" s="2547"/>
      <c r="J225" s="438">
        <v>31</v>
      </c>
      <c r="K225" s="440"/>
      <c r="L225" s="440"/>
      <c r="M225" s="799"/>
      <c r="N225" s="800"/>
      <c r="O225" s="758"/>
      <c r="P225" s="440"/>
      <c r="Q225" s="801"/>
      <c r="R225" s="757">
        <v>1</v>
      </c>
      <c r="S225" s="438" t="s">
        <v>156</v>
      </c>
      <c r="T225" s="441">
        <v>28</v>
      </c>
      <c r="U225" s="620"/>
      <c r="V225" s="306"/>
    </row>
    <row r="226" spans="1:27" s="175" customFormat="1" ht="16.149999999999999" customHeight="1">
      <c r="A226" s="1110"/>
      <c r="B226" s="756"/>
      <c r="C226" s="510" t="s">
        <v>1195</v>
      </c>
      <c r="D226" s="2545">
        <v>45870</v>
      </c>
      <c r="E226" s="2546"/>
      <c r="F226" s="2547"/>
      <c r="G226" s="2545">
        <v>45900</v>
      </c>
      <c r="H226" s="2546"/>
      <c r="I226" s="2547"/>
      <c r="J226" s="438">
        <v>31</v>
      </c>
      <c r="K226" s="440"/>
      <c r="L226" s="440"/>
      <c r="M226" s="799"/>
      <c r="N226" s="800"/>
      <c r="O226" s="758"/>
      <c r="P226" s="440"/>
      <c r="Q226" s="801"/>
      <c r="R226" s="757">
        <v>1</v>
      </c>
      <c r="S226" s="438" t="s">
        <v>156</v>
      </c>
      <c r="T226" s="441">
        <v>28</v>
      </c>
      <c r="U226" s="620"/>
      <c r="V226" s="306"/>
    </row>
    <row r="227" spans="1:27" s="175" customFormat="1" ht="16.149999999999999" customHeight="1">
      <c r="A227" s="1110"/>
      <c r="B227" s="1456"/>
      <c r="C227" s="972" t="s">
        <v>1198</v>
      </c>
      <c r="D227" s="2749">
        <v>45901</v>
      </c>
      <c r="E227" s="2750"/>
      <c r="F227" s="2751"/>
      <c r="G227" s="2749" t="s">
        <v>1199</v>
      </c>
      <c r="H227" s="2750"/>
      <c r="I227" s="2751"/>
      <c r="J227" s="760">
        <v>31</v>
      </c>
      <c r="K227" s="1245"/>
      <c r="L227" s="1245"/>
      <c r="M227" s="1203"/>
      <c r="N227" s="761"/>
      <c r="O227" s="1246"/>
      <c r="P227" s="1245"/>
      <c r="Q227" s="762"/>
      <c r="R227" s="1458">
        <v>1</v>
      </c>
      <c r="S227" s="760" t="s">
        <v>156</v>
      </c>
      <c r="T227" s="874">
        <v>28</v>
      </c>
      <c r="U227" s="1613"/>
      <c r="V227" s="306"/>
    </row>
    <row r="228" spans="1:27" s="40" customFormat="1" ht="15.75" customHeight="1">
      <c r="A228" s="1106"/>
      <c r="B228" s="645"/>
      <c r="C228" s="1614"/>
      <c r="D228" s="2548" t="s">
        <v>257</v>
      </c>
      <c r="E228" s="2549"/>
      <c r="F228" s="2549"/>
      <c r="G228" s="2549"/>
      <c r="H228" s="2549"/>
      <c r="I228" s="2550"/>
      <c r="J228" s="2490">
        <f>VLOOKUP(A230,'11 - FINANCEIRA'!$A$16:$AE$156,30,FALSE)</f>
        <v>48</v>
      </c>
      <c r="K228" s="2491"/>
      <c r="L228" s="590" t="str">
        <f>VLOOKUP(A230,'11 - FINANCEIRA'!_xlnm.Print_Area,4,FALSE)</f>
        <v>mês</v>
      </c>
      <c r="M228" s="2561" t="s">
        <v>258</v>
      </c>
      <c r="N228" s="2562"/>
      <c r="O228" s="2562"/>
      <c r="P228" s="2562"/>
      <c r="Q228" s="2563"/>
      <c r="R228" s="375">
        <f>SUM(R178:R227)</f>
        <v>46.800000000000004</v>
      </c>
      <c r="S228" s="591" t="str">
        <f>L228</f>
        <v>mês</v>
      </c>
      <c r="T228" s="390"/>
      <c r="U228" s="391"/>
      <c r="V228" s="174">
        <f>V229</f>
        <v>6</v>
      </c>
    </row>
    <row r="229" spans="1:27" s="40" customFormat="1" ht="15.75" customHeight="1">
      <c r="A229" s="1106"/>
      <c r="B229" s="1350"/>
      <c r="C229" s="1351"/>
      <c r="D229" s="2505" t="s">
        <v>259</v>
      </c>
      <c r="E229" s="2506"/>
      <c r="F229" s="2506"/>
      <c r="G229" s="2506"/>
      <c r="H229" s="2506"/>
      <c r="I229" s="2507"/>
      <c r="J229" s="2511">
        <f>R228/J228</f>
        <v>0.97500000000000009</v>
      </c>
      <c r="K229" s="2512"/>
      <c r="L229" s="2559"/>
      <c r="M229" s="2561" t="s">
        <v>260</v>
      </c>
      <c r="N229" s="2562"/>
      <c r="O229" s="2562"/>
      <c r="P229" s="2562"/>
      <c r="Q229" s="2563"/>
      <c r="R229" s="375">
        <f>VLOOKUP(A230,'11 - FINANCEIRA'!_xlnm.Print_Area,8,FALSE)</f>
        <v>40.800000000000004</v>
      </c>
      <c r="S229" s="376" t="str">
        <f>L228</f>
        <v>mês</v>
      </c>
      <c r="T229" s="372"/>
      <c r="U229" s="1227"/>
      <c r="V229" s="174">
        <f>V230</f>
        <v>6</v>
      </c>
    </row>
    <row r="230" spans="1:27" s="40" customFormat="1" ht="15.75" customHeight="1">
      <c r="A230" s="1106" t="s">
        <v>22</v>
      </c>
      <c r="B230" s="647"/>
      <c r="C230" s="1352"/>
      <c r="D230" s="2551"/>
      <c r="E230" s="2552"/>
      <c r="F230" s="2552"/>
      <c r="G230" s="2552"/>
      <c r="H230" s="2552"/>
      <c r="I230" s="2553"/>
      <c r="J230" s="2530"/>
      <c r="K230" s="2531"/>
      <c r="L230" s="2560"/>
      <c r="M230" s="2561" t="s">
        <v>261</v>
      </c>
      <c r="N230" s="2562"/>
      <c r="O230" s="2562"/>
      <c r="P230" s="2562"/>
      <c r="Q230" s="2563"/>
      <c r="R230" s="375">
        <f>R228-R229</f>
        <v>6</v>
      </c>
      <c r="S230" s="376" t="str">
        <f>L228</f>
        <v>mês</v>
      </c>
      <c r="T230" s="2081"/>
      <c r="U230" s="1355"/>
      <c r="V230" s="174">
        <f>R230</f>
        <v>6</v>
      </c>
    </row>
    <row r="231" spans="1:27" s="40" customFormat="1" hidden="1">
      <c r="A231" s="1106"/>
      <c r="B231" s="2071"/>
      <c r="C231" s="2072"/>
      <c r="D231" s="2073"/>
      <c r="E231" s="2074"/>
      <c r="F231" s="2073"/>
      <c r="G231" s="2073"/>
      <c r="H231" s="2073"/>
      <c r="I231" s="2073"/>
      <c r="J231" s="2075"/>
      <c r="K231" s="2076"/>
      <c r="L231" s="2077"/>
      <c r="M231" s="2078"/>
      <c r="N231" s="2078"/>
      <c r="O231" s="2078"/>
      <c r="P231" s="2078"/>
      <c r="Q231" s="2078"/>
      <c r="R231" s="2079"/>
      <c r="S231" s="2080"/>
      <c r="T231" s="2081"/>
      <c r="U231" s="1355"/>
      <c r="V231" s="265" t="e">
        <f>SUM(V176:V230)</f>
        <v>#REF!</v>
      </c>
    </row>
    <row r="232" spans="1:27" s="176" customFormat="1" ht="48.75" hidden="1" customHeight="1">
      <c r="A232" s="1106"/>
      <c r="B232" s="2494">
        <f>VLOOKUP(A269,'11 - FINANCEIRA'!_xlnm.Print_Area,2,FALSE)</f>
        <v>20356</v>
      </c>
      <c r="C232" s="2492" t="str">
        <f>VLOOKUP(A269,'11 - FINANCEIRA'!_xlnm.Print_Area,3,FALSE)</f>
        <v>Aluguel mensal container para almoxarifado, incl. porta, 2 janelas, 1 pt iluminação, Isolamento térmico (teto), piso em comp. Naval pintado, cert. NR18, incl. laudo descontaminação.</v>
      </c>
      <c r="D232" s="2581" t="s">
        <v>263</v>
      </c>
      <c r="E232" s="2582"/>
      <c r="F232" s="2582"/>
      <c r="G232" s="2582"/>
      <c r="H232" s="2582"/>
      <c r="I232" s="2583"/>
      <c r="J232" s="2496" t="s">
        <v>264</v>
      </c>
      <c r="K232" s="2496" t="s">
        <v>244</v>
      </c>
      <c r="L232" s="2496" t="s">
        <v>245</v>
      </c>
      <c r="M232" s="2496" t="s">
        <v>246</v>
      </c>
      <c r="N232" s="2496" t="s">
        <v>247</v>
      </c>
      <c r="O232" s="2496" t="s">
        <v>248</v>
      </c>
      <c r="P232" s="2496" t="s">
        <v>265</v>
      </c>
      <c r="Q232" s="2496" t="s">
        <v>139</v>
      </c>
      <c r="R232" s="2577" t="s">
        <v>139</v>
      </c>
      <c r="S232" s="2496" t="s">
        <v>251</v>
      </c>
      <c r="T232" s="2496" t="s">
        <v>252</v>
      </c>
      <c r="U232" s="2586" t="s">
        <v>253</v>
      </c>
      <c r="V232" s="174">
        <f>V233</f>
        <v>0</v>
      </c>
      <c r="W232" s="175"/>
      <c r="X232" s="175"/>
      <c r="Y232" s="175"/>
      <c r="Z232" s="175"/>
      <c r="AA232" s="175"/>
    </row>
    <row r="233" spans="1:27" s="176" customFormat="1" hidden="1">
      <c r="A233" s="1106"/>
      <c r="B233" s="2495"/>
      <c r="C233" s="2493"/>
      <c r="D233" s="2588" t="s">
        <v>254</v>
      </c>
      <c r="E233" s="2589"/>
      <c r="F233" s="2590"/>
      <c r="G233" s="2591" t="s">
        <v>255</v>
      </c>
      <c r="H233" s="2592"/>
      <c r="I233" s="2593"/>
      <c r="J233" s="2497"/>
      <c r="K233" s="2497"/>
      <c r="L233" s="2497"/>
      <c r="M233" s="2497"/>
      <c r="N233" s="2497"/>
      <c r="O233" s="2497"/>
      <c r="P233" s="2497"/>
      <c r="Q233" s="2497"/>
      <c r="R233" s="2578"/>
      <c r="S233" s="2497"/>
      <c r="T233" s="2497"/>
      <c r="U233" s="2587"/>
      <c r="V233" s="174">
        <f>V234</f>
        <v>0</v>
      </c>
      <c r="W233" s="175"/>
      <c r="X233" s="175"/>
      <c r="Y233" s="175"/>
      <c r="Z233" s="175"/>
      <c r="AA233" s="175"/>
    </row>
    <row r="234" spans="1:27" s="176" customFormat="1" hidden="1">
      <c r="A234" s="1106"/>
      <c r="B234" s="336"/>
      <c r="C234" s="337" t="s">
        <v>286</v>
      </c>
      <c r="D234" s="2703">
        <v>44823</v>
      </c>
      <c r="E234" s="2704"/>
      <c r="F234" s="2705"/>
      <c r="G234" s="2706">
        <v>44834</v>
      </c>
      <c r="H234" s="2707"/>
      <c r="I234" s="2708"/>
      <c r="J234" s="275">
        <f>G234-D234+1</f>
        <v>12</v>
      </c>
      <c r="K234" s="275"/>
      <c r="L234" s="275"/>
      <c r="M234" s="275"/>
      <c r="N234" s="275"/>
      <c r="O234" s="275"/>
      <c r="P234" s="338"/>
      <c r="Q234" s="275"/>
      <c r="R234" s="191">
        <f>J234/30</f>
        <v>0.4</v>
      </c>
      <c r="S234" s="411" t="s">
        <v>156</v>
      </c>
      <c r="T234" s="276">
        <v>1</v>
      </c>
      <c r="U234" s="335"/>
      <c r="V234" s="174">
        <f>V235</f>
        <v>0</v>
      </c>
      <c r="W234" s="175"/>
      <c r="X234" s="175"/>
      <c r="Y234" s="175"/>
      <c r="Z234" s="175"/>
      <c r="AA234" s="175"/>
    </row>
    <row r="235" spans="1:27" s="176" customFormat="1" hidden="1">
      <c r="A235" s="1106"/>
      <c r="B235" s="296"/>
      <c r="C235" s="339" t="s">
        <v>287</v>
      </c>
      <c r="D235" s="2533">
        <v>44835</v>
      </c>
      <c r="E235" s="2534"/>
      <c r="F235" s="2535"/>
      <c r="G235" s="2536">
        <v>44865</v>
      </c>
      <c r="H235" s="2537"/>
      <c r="I235" s="2538"/>
      <c r="J235" s="192">
        <v>31</v>
      </c>
      <c r="K235" s="297"/>
      <c r="L235" s="192"/>
      <c r="M235" s="299"/>
      <c r="N235" s="298"/>
      <c r="O235" s="297"/>
      <c r="P235" s="303"/>
      <c r="Q235" s="299"/>
      <c r="R235" s="304">
        <v>1</v>
      </c>
      <c r="S235" s="340" t="s">
        <v>156</v>
      </c>
      <c r="T235" s="193">
        <v>2</v>
      </c>
      <c r="U235" s="341"/>
      <c r="V235" s="174">
        <f>V236</f>
        <v>0</v>
      </c>
      <c r="W235" s="175"/>
      <c r="X235" s="175"/>
      <c r="Y235" s="175"/>
      <c r="Z235" s="175"/>
      <c r="AA235" s="175"/>
    </row>
    <row r="236" spans="1:27" s="222" customFormat="1" hidden="1">
      <c r="A236" s="1106"/>
      <c r="B236" s="342"/>
      <c r="C236" s="339" t="s">
        <v>288</v>
      </c>
      <c r="D236" s="2533">
        <v>44866</v>
      </c>
      <c r="E236" s="2534"/>
      <c r="F236" s="2535"/>
      <c r="G236" s="2533">
        <v>44895</v>
      </c>
      <c r="H236" s="2534"/>
      <c r="I236" s="2535"/>
      <c r="J236" s="340">
        <v>30</v>
      </c>
      <c r="K236" s="344"/>
      <c r="L236" s="344"/>
      <c r="M236" s="344"/>
      <c r="N236" s="344"/>
      <c r="O236" s="345"/>
      <c r="P236" s="344"/>
      <c r="Q236" s="345"/>
      <c r="R236" s="346">
        <v>1</v>
      </c>
      <c r="S236" s="406" t="s">
        <v>156</v>
      </c>
      <c r="T236" s="347">
        <v>3</v>
      </c>
      <c r="U236" s="393"/>
      <c r="V236" s="174">
        <f>V249</f>
        <v>0</v>
      </c>
    </row>
    <row r="237" spans="1:27" s="222" customFormat="1" hidden="1">
      <c r="A237" s="1106"/>
      <c r="B237" s="348"/>
      <c r="C237" s="343" t="s">
        <v>289</v>
      </c>
      <c r="D237" s="2533">
        <v>44896</v>
      </c>
      <c r="E237" s="2534"/>
      <c r="F237" s="2535"/>
      <c r="G237" s="2533">
        <v>44926</v>
      </c>
      <c r="H237" s="2534"/>
      <c r="I237" s="2535"/>
      <c r="J237" s="340">
        <v>31</v>
      </c>
      <c r="K237" s="349"/>
      <c r="L237" s="350"/>
      <c r="M237" s="351"/>
      <c r="N237" s="352"/>
      <c r="O237" s="353"/>
      <c r="P237" s="350"/>
      <c r="Q237" s="354"/>
      <c r="R237" s="346">
        <v>1</v>
      </c>
      <c r="S237" s="340" t="s">
        <v>156</v>
      </c>
      <c r="T237" s="355">
        <v>4</v>
      </c>
      <c r="U237" s="407"/>
      <c r="V237" s="174">
        <f>V249</f>
        <v>0</v>
      </c>
    </row>
    <row r="238" spans="1:27" s="222" customFormat="1" hidden="1">
      <c r="A238" s="1106"/>
      <c r="B238" s="348"/>
      <c r="C238" s="343" t="s">
        <v>290</v>
      </c>
      <c r="D238" s="2533">
        <v>44927</v>
      </c>
      <c r="E238" s="2534"/>
      <c r="F238" s="2535"/>
      <c r="G238" s="2533">
        <v>44957</v>
      </c>
      <c r="H238" s="2534"/>
      <c r="I238" s="2535"/>
      <c r="J238" s="340">
        <v>31</v>
      </c>
      <c r="K238" s="349"/>
      <c r="L238" s="350"/>
      <c r="M238" s="351"/>
      <c r="N238" s="352"/>
      <c r="O238" s="353"/>
      <c r="P238" s="350"/>
      <c r="Q238" s="354"/>
      <c r="R238" s="356">
        <v>1</v>
      </c>
      <c r="S238" s="340" t="s">
        <v>156</v>
      </c>
      <c r="T238" s="355">
        <v>5</v>
      </c>
      <c r="U238" s="408"/>
      <c r="V238" s="174">
        <f>V249</f>
        <v>0</v>
      </c>
    </row>
    <row r="239" spans="1:27" s="175" customFormat="1" hidden="1">
      <c r="A239" s="1110"/>
      <c r="B239" s="348"/>
      <c r="C239" s="343" t="s">
        <v>291</v>
      </c>
      <c r="D239" s="2533">
        <v>44958</v>
      </c>
      <c r="E239" s="2534"/>
      <c r="F239" s="2535"/>
      <c r="G239" s="2533">
        <v>44985</v>
      </c>
      <c r="H239" s="2534"/>
      <c r="I239" s="2535"/>
      <c r="J239" s="357">
        <v>28</v>
      </c>
      <c r="K239" s="349"/>
      <c r="L239" s="350"/>
      <c r="M239" s="351"/>
      <c r="N239" s="352"/>
      <c r="O239" s="353"/>
      <c r="P239" s="350"/>
      <c r="Q239" s="354"/>
      <c r="R239" s="356">
        <v>1</v>
      </c>
      <c r="S239" s="357" t="s">
        <v>156</v>
      </c>
      <c r="T239" s="355">
        <v>6</v>
      </c>
      <c r="U239" s="408"/>
      <c r="V239" s="306">
        <f>V249</f>
        <v>0</v>
      </c>
    </row>
    <row r="240" spans="1:27" s="175" customFormat="1" hidden="1">
      <c r="A240" s="1110"/>
      <c r="B240" s="348"/>
      <c r="C240" s="343" t="s">
        <v>528</v>
      </c>
      <c r="D240" s="2533">
        <v>44986</v>
      </c>
      <c r="E240" s="2534"/>
      <c r="F240" s="2535"/>
      <c r="G240" s="2533">
        <v>45016</v>
      </c>
      <c r="H240" s="2534"/>
      <c r="I240" s="2535"/>
      <c r="J240" s="357">
        <v>31</v>
      </c>
      <c r="K240" s="349"/>
      <c r="L240" s="350"/>
      <c r="M240" s="351"/>
      <c r="N240" s="352"/>
      <c r="O240" s="353"/>
      <c r="P240" s="350"/>
      <c r="Q240" s="354"/>
      <c r="R240" s="356">
        <v>0.6</v>
      </c>
      <c r="S240" s="357" t="s">
        <v>156</v>
      </c>
      <c r="T240" s="355">
        <v>7</v>
      </c>
      <c r="U240" s="408"/>
      <c r="V240" s="306">
        <f>V249</f>
        <v>0</v>
      </c>
    </row>
    <row r="241" spans="1:22" s="175" customFormat="1" hidden="1">
      <c r="A241" s="1110"/>
      <c r="B241" s="348"/>
      <c r="C241" s="339" t="s">
        <v>752</v>
      </c>
      <c r="D241" s="2533">
        <v>45035</v>
      </c>
      <c r="E241" s="2534"/>
      <c r="F241" s="2535"/>
      <c r="G241" s="2536">
        <v>45046</v>
      </c>
      <c r="H241" s="2537"/>
      <c r="I241" s="2538"/>
      <c r="J241" s="340">
        <v>30</v>
      </c>
      <c r="K241" s="340"/>
      <c r="L241" s="340"/>
      <c r="M241" s="340"/>
      <c r="N241" s="340"/>
      <c r="O241" s="340"/>
      <c r="P241" s="461"/>
      <c r="Q241" s="340"/>
      <c r="R241" s="462">
        <v>0.4</v>
      </c>
      <c r="S241" s="340" t="s">
        <v>156</v>
      </c>
      <c r="T241" s="347">
        <v>12</v>
      </c>
      <c r="U241" s="812" t="s">
        <v>493</v>
      </c>
      <c r="V241" s="306"/>
    </row>
    <row r="242" spans="1:22" s="175" customFormat="1" hidden="1">
      <c r="A242" s="1110"/>
      <c r="B242" s="348"/>
      <c r="C242" s="339" t="s">
        <v>753</v>
      </c>
      <c r="D242" s="2533">
        <v>45035</v>
      </c>
      <c r="E242" s="2534"/>
      <c r="F242" s="2535"/>
      <c r="G242" s="2536">
        <v>45046</v>
      </c>
      <c r="H242" s="2537"/>
      <c r="I242" s="2538"/>
      <c r="J242" s="340">
        <v>30</v>
      </c>
      <c r="K242" s="340"/>
      <c r="L242" s="340"/>
      <c r="M242" s="340"/>
      <c r="N242" s="340"/>
      <c r="O242" s="340"/>
      <c r="P242" s="461"/>
      <c r="Q242" s="340"/>
      <c r="R242" s="462">
        <f>J242/30</f>
        <v>1</v>
      </c>
      <c r="S242" s="340" t="s">
        <v>156</v>
      </c>
      <c r="T242" s="347">
        <v>12</v>
      </c>
      <c r="U242" s="408" t="s">
        <v>493</v>
      </c>
      <c r="V242" s="306"/>
    </row>
    <row r="243" spans="1:22" s="175" customFormat="1" hidden="1">
      <c r="A243" s="1110"/>
      <c r="B243" s="348"/>
      <c r="C243" s="339" t="s">
        <v>754</v>
      </c>
      <c r="D243" s="2533">
        <v>45047</v>
      </c>
      <c r="E243" s="2534"/>
      <c r="F243" s="2535"/>
      <c r="G243" s="2536">
        <v>45077</v>
      </c>
      <c r="H243" s="2537"/>
      <c r="I243" s="2538"/>
      <c r="J243" s="192">
        <v>31</v>
      </c>
      <c r="K243" s="560"/>
      <c r="L243" s="340"/>
      <c r="M243" s="463"/>
      <c r="N243" s="464"/>
      <c r="O243" s="560"/>
      <c r="P243" s="461"/>
      <c r="Q243" s="463"/>
      <c r="R243" s="462">
        <v>1</v>
      </c>
      <c r="S243" s="340" t="s">
        <v>156</v>
      </c>
      <c r="T243" s="347">
        <v>12</v>
      </c>
      <c r="U243" s="408" t="s">
        <v>493</v>
      </c>
      <c r="V243" s="306"/>
    </row>
    <row r="244" spans="1:22" s="175" customFormat="1" hidden="1">
      <c r="A244" s="1110"/>
      <c r="B244" s="348"/>
      <c r="C244" s="343" t="s">
        <v>755</v>
      </c>
      <c r="D244" s="2533">
        <v>45078</v>
      </c>
      <c r="E244" s="2534"/>
      <c r="F244" s="2535"/>
      <c r="G244" s="2533">
        <v>45107</v>
      </c>
      <c r="H244" s="2534"/>
      <c r="I244" s="2535"/>
      <c r="J244" s="340">
        <v>30</v>
      </c>
      <c r="K244" s="344"/>
      <c r="L244" s="344"/>
      <c r="M244" s="344"/>
      <c r="N244" s="344"/>
      <c r="O244" s="345"/>
      <c r="P244" s="344"/>
      <c r="Q244" s="345"/>
      <c r="R244" s="346">
        <v>1</v>
      </c>
      <c r="S244" s="340" t="s">
        <v>156</v>
      </c>
      <c r="T244" s="347">
        <v>12</v>
      </c>
      <c r="U244" s="408" t="s">
        <v>493</v>
      </c>
      <c r="V244" s="306"/>
    </row>
    <row r="245" spans="1:22" s="175" customFormat="1" hidden="1">
      <c r="A245" s="1110"/>
      <c r="B245" s="348"/>
      <c r="C245" s="343" t="s">
        <v>756</v>
      </c>
      <c r="D245" s="2533">
        <v>45108</v>
      </c>
      <c r="E245" s="2534"/>
      <c r="F245" s="2535"/>
      <c r="G245" s="2533">
        <v>45138</v>
      </c>
      <c r="H245" s="2534"/>
      <c r="I245" s="2535"/>
      <c r="J245" s="340">
        <v>31</v>
      </c>
      <c r="K245" s="349"/>
      <c r="L245" s="350"/>
      <c r="M245" s="351"/>
      <c r="N245" s="352"/>
      <c r="O245" s="353"/>
      <c r="P245" s="350"/>
      <c r="Q245" s="354"/>
      <c r="R245" s="346">
        <v>1</v>
      </c>
      <c r="S245" s="340" t="s">
        <v>156</v>
      </c>
      <c r="T245" s="347">
        <v>12</v>
      </c>
      <c r="U245" s="408" t="s">
        <v>493</v>
      </c>
      <c r="V245" s="306"/>
    </row>
    <row r="246" spans="1:22" s="175" customFormat="1" hidden="1">
      <c r="A246" s="1110"/>
      <c r="B246" s="348"/>
      <c r="C246" s="343" t="s">
        <v>757</v>
      </c>
      <c r="D246" s="2533">
        <v>45139</v>
      </c>
      <c r="E246" s="2534"/>
      <c r="F246" s="2535"/>
      <c r="G246" s="2533">
        <v>45169</v>
      </c>
      <c r="H246" s="2534"/>
      <c r="I246" s="2535"/>
      <c r="J246" s="340">
        <v>31</v>
      </c>
      <c r="K246" s="349"/>
      <c r="L246" s="350"/>
      <c r="M246" s="351"/>
      <c r="N246" s="352"/>
      <c r="O246" s="353"/>
      <c r="P246" s="350"/>
      <c r="Q246" s="354"/>
      <c r="R246" s="346">
        <v>1</v>
      </c>
      <c r="S246" s="340" t="s">
        <v>156</v>
      </c>
      <c r="T246" s="347">
        <v>12</v>
      </c>
      <c r="U246" s="408" t="s">
        <v>493</v>
      </c>
      <c r="V246" s="306"/>
    </row>
    <row r="247" spans="1:22" s="175" customFormat="1" hidden="1">
      <c r="A247" s="1110"/>
      <c r="B247" s="348"/>
      <c r="C247" s="343" t="s">
        <v>758</v>
      </c>
      <c r="D247" s="2533">
        <v>45170</v>
      </c>
      <c r="E247" s="2534"/>
      <c r="F247" s="2535"/>
      <c r="G247" s="2533">
        <v>45199</v>
      </c>
      <c r="H247" s="2534"/>
      <c r="I247" s="2535"/>
      <c r="J247" s="340">
        <v>30</v>
      </c>
      <c r="K247" s="349"/>
      <c r="L247" s="350"/>
      <c r="M247" s="351"/>
      <c r="N247" s="352"/>
      <c r="O247" s="353"/>
      <c r="P247" s="350"/>
      <c r="Q247" s="354"/>
      <c r="R247" s="346">
        <v>1</v>
      </c>
      <c r="S247" s="340" t="s">
        <v>156</v>
      </c>
      <c r="T247" s="347">
        <v>13</v>
      </c>
      <c r="U247" s="408"/>
      <c r="V247" s="306"/>
    </row>
    <row r="248" spans="1:22" s="175" customFormat="1" hidden="1">
      <c r="A248" s="1110"/>
      <c r="B248" s="348"/>
      <c r="C248" s="343" t="s">
        <v>759</v>
      </c>
      <c r="D248" s="2533">
        <v>45200</v>
      </c>
      <c r="E248" s="2534"/>
      <c r="F248" s="2535"/>
      <c r="G248" s="2533">
        <v>45230</v>
      </c>
      <c r="H248" s="2534"/>
      <c r="I248" s="2535"/>
      <c r="J248" s="340">
        <v>30</v>
      </c>
      <c r="K248" s="349"/>
      <c r="L248" s="350"/>
      <c r="M248" s="351"/>
      <c r="N248" s="352"/>
      <c r="O248" s="353"/>
      <c r="P248" s="350"/>
      <c r="Q248" s="354"/>
      <c r="R248" s="346">
        <v>1</v>
      </c>
      <c r="S248" s="340" t="s">
        <v>156</v>
      </c>
      <c r="T248" s="347">
        <v>14</v>
      </c>
      <c r="U248" s="408"/>
      <c r="V248" s="306"/>
    </row>
    <row r="249" spans="1:22" s="175" customFormat="1" hidden="1">
      <c r="A249" s="1110"/>
      <c r="B249" s="348"/>
      <c r="C249" s="343" t="s">
        <v>759</v>
      </c>
      <c r="D249" s="2533">
        <v>45231</v>
      </c>
      <c r="E249" s="2534"/>
      <c r="F249" s="2535"/>
      <c r="G249" s="2533" t="s">
        <v>601</v>
      </c>
      <c r="H249" s="2534"/>
      <c r="I249" s="2535"/>
      <c r="J249" s="340">
        <v>30</v>
      </c>
      <c r="K249" s="504"/>
      <c r="L249" s="344"/>
      <c r="M249" s="505"/>
      <c r="N249" s="506"/>
      <c r="O249" s="406"/>
      <c r="P249" s="344"/>
      <c r="Q249" s="507"/>
      <c r="R249" s="346">
        <v>1</v>
      </c>
      <c r="S249" s="340" t="s">
        <v>156</v>
      </c>
      <c r="T249" s="347">
        <v>15</v>
      </c>
      <c r="U249" s="408"/>
      <c r="V249" s="306"/>
    </row>
    <row r="250" spans="1:22" s="175" customFormat="1" hidden="1">
      <c r="A250" s="1110"/>
      <c r="B250" s="348"/>
      <c r="C250" s="343" t="s">
        <v>760</v>
      </c>
      <c r="D250" s="2533">
        <v>45261</v>
      </c>
      <c r="E250" s="2534"/>
      <c r="F250" s="2535"/>
      <c r="G250" s="2533">
        <v>45291</v>
      </c>
      <c r="H250" s="2534"/>
      <c r="I250" s="2535"/>
      <c r="J250" s="340">
        <v>30</v>
      </c>
      <c r="K250" s="504"/>
      <c r="L250" s="344"/>
      <c r="M250" s="505"/>
      <c r="N250" s="506"/>
      <c r="O250" s="406"/>
      <c r="P250" s="344"/>
      <c r="Q250" s="507"/>
      <c r="R250" s="346">
        <v>1</v>
      </c>
      <c r="S250" s="340" t="s">
        <v>156</v>
      </c>
      <c r="T250" s="347">
        <v>16</v>
      </c>
      <c r="U250" s="408"/>
      <c r="V250" s="306"/>
    </row>
    <row r="251" spans="1:22" s="175" customFormat="1" hidden="1">
      <c r="A251" s="1110"/>
      <c r="B251" s="348"/>
      <c r="C251" s="343" t="s">
        <v>761</v>
      </c>
      <c r="D251" s="2533">
        <v>45292</v>
      </c>
      <c r="E251" s="2534"/>
      <c r="F251" s="2535"/>
      <c r="G251" s="2533">
        <v>45322</v>
      </c>
      <c r="H251" s="2534"/>
      <c r="I251" s="2535"/>
      <c r="J251" s="340">
        <v>31</v>
      </c>
      <c r="K251" s="504"/>
      <c r="L251" s="344"/>
      <c r="M251" s="505"/>
      <c r="N251" s="506"/>
      <c r="O251" s="406"/>
      <c r="P251" s="344"/>
      <c r="Q251" s="507"/>
      <c r="R251" s="346">
        <v>1</v>
      </c>
      <c r="S251" s="340" t="s">
        <v>156</v>
      </c>
      <c r="T251" s="347">
        <v>17</v>
      </c>
      <c r="U251" s="408"/>
      <c r="V251" s="306"/>
    </row>
    <row r="252" spans="1:22" s="175" customFormat="1" hidden="1">
      <c r="A252" s="1110"/>
      <c r="B252" s="348"/>
      <c r="C252" s="835" t="s">
        <v>762</v>
      </c>
      <c r="D252" s="2533">
        <v>45323</v>
      </c>
      <c r="E252" s="2534"/>
      <c r="F252" s="2535"/>
      <c r="G252" s="2533">
        <v>45351</v>
      </c>
      <c r="H252" s="2534"/>
      <c r="I252" s="2535"/>
      <c r="J252" s="340">
        <v>29</v>
      </c>
      <c r="K252" s="504"/>
      <c r="L252" s="344"/>
      <c r="M252" s="505"/>
      <c r="N252" s="506"/>
      <c r="O252" s="406"/>
      <c r="P252" s="344"/>
      <c r="Q252" s="507"/>
      <c r="R252" s="346">
        <v>1</v>
      </c>
      <c r="S252" s="340" t="s">
        <v>156</v>
      </c>
      <c r="T252" s="347">
        <v>18</v>
      </c>
      <c r="U252" s="408"/>
      <c r="V252" s="306"/>
    </row>
    <row r="253" spans="1:22" s="175" customFormat="1" hidden="1">
      <c r="A253" s="1110"/>
      <c r="B253" s="348"/>
      <c r="C253" s="343" t="s">
        <v>763</v>
      </c>
      <c r="D253" s="2533">
        <v>45352</v>
      </c>
      <c r="E253" s="2534"/>
      <c r="F253" s="2535"/>
      <c r="G253" s="2533">
        <v>45382</v>
      </c>
      <c r="H253" s="2534"/>
      <c r="I253" s="2535"/>
      <c r="J253" s="340">
        <v>30</v>
      </c>
      <c r="K253" s="504"/>
      <c r="L253" s="344"/>
      <c r="M253" s="505"/>
      <c r="N253" s="506"/>
      <c r="O253" s="406"/>
      <c r="P253" s="344"/>
      <c r="Q253" s="507"/>
      <c r="R253" s="346">
        <v>1</v>
      </c>
      <c r="S253" s="340" t="s">
        <v>156</v>
      </c>
      <c r="T253" s="347">
        <v>19</v>
      </c>
      <c r="U253" s="408"/>
      <c r="V253" s="306"/>
    </row>
    <row r="254" spans="1:22" s="175" customFormat="1" ht="18" hidden="1" customHeight="1">
      <c r="A254" s="1110"/>
      <c r="B254" s="348"/>
      <c r="C254" s="343" t="s">
        <v>764</v>
      </c>
      <c r="D254" s="2542">
        <f t="shared" ref="D254:D266" si="16">D120</f>
        <v>45383</v>
      </c>
      <c r="E254" s="2543"/>
      <c r="F254" s="2544"/>
      <c r="G254" s="2533" t="str">
        <f>G210</f>
        <v>31/04/2024</v>
      </c>
      <c r="H254" s="2534"/>
      <c r="I254" s="2535"/>
      <c r="J254" s="340">
        <f>J210</f>
        <v>30</v>
      </c>
      <c r="K254" s="504"/>
      <c r="L254" s="344"/>
      <c r="M254" s="505"/>
      <c r="N254" s="506"/>
      <c r="O254" s="406"/>
      <c r="P254" s="344"/>
      <c r="Q254" s="507"/>
      <c r="R254" s="346">
        <v>1</v>
      </c>
      <c r="S254" s="340" t="s">
        <v>156</v>
      </c>
      <c r="T254" s="347">
        <v>20</v>
      </c>
      <c r="U254" s="408"/>
      <c r="V254" s="306"/>
    </row>
    <row r="255" spans="1:22" s="175" customFormat="1" ht="18" hidden="1" customHeight="1">
      <c r="A255" s="1110"/>
      <c r="B255" s="342"/>
      <c r="C255" s="343" t="s">
        <v>772</v>
      </c>
      <c r="D255" s="2542">
        <f t="shared" si="16"/>
        <v>45413</v>
      </c>
      <c r="E255" s="2543"/>
      <c r="F255" s="2544"/>
      <c r="G255" s="2533">
        <f>G211</f>
        <v>45443</v>
      </c>
      <c r="H255" s="2534"/>
      <c r="I255" s="2535"/>
      <c r="J255" s="340">
        <f>J211</f>
        <v>31</v>
      </c>
      <c r="K255" s="504"/>
      <c r="L255" s="344"/>
      <c r="M255" s="505"/>
      <c r="N255" s="506"/>
      <c r="O255" s="406"/>
      <c r="P255" s="344"/>
      <c r="Q255" s="507"/>
      <c r="R255" s="346">
        <v>1</v>
      </c>
      <c r="S255" s="340" t="s">
        <v>156</v>
      </c>
      <c r="T255" s="347">
        <v>21</v>
      </c>
      <c r="U255" s="408"/>
      <c r="V255" s="306"/>
    </row>
    <row r="256" spans="1:22" s="1330" customFormat="1" ht="18" hidden="1" customHeight="1">
      <c r="A256" s="1772"/>
      <c r="B256" s="1321"/>
      <c r="C256" s="1138" t="s">
        <v>855</v>
      </c>
      <c r="D256" s="2542">
        <f t="shared" si="16"/>
        <v>45444</v>
      </c>
      <c r="E256" s="2543"/>
      <c r="F256" s="2544"/>
      <c r="G256" s="2542" t="str">
        <f>G212</f>
        <v>31/06/2024</v>
      </c>
      <c r="H256" s="2543"/>
      <c r="I256" s="2544"/>
      <c r="J256" s="461">
        <f>J212</f>
        <v>30</v>
      </c>
      <c r="K256" s="1322"/>
      <c r="L256" s="1323"/>
      <c r="M256" s="1324"/>
      <c r="N256" s="1325"/>
      <c r="O256" s="1326"/>
      <c r="P256" s="1323"/>
      <c r="Q256" s="1324"/>
      <c r="R256" s="1328">
        <v>1</v>
      </c>
      <c r="S256" s="461" t="s">
        <v>156</v>
      </c>
      <c r="T256" s="1327">
        <v>22</v>
      </c>
      <c r="U256" s="461"/>
      <c r="V256" s="1329"/>
    </row>
    <row r="257" spans="1:27" s="1330" customFormat="1" ht="18" hidden="1" customHeight="1">
      <c r="A257" s="1772"/>
      <c r="B257" s="1321"/>
      <c r="C257" s="1138" t="s">
        <v>856</v>
      </c>
      <c r="D257" s="2542">
        <f t="shared" si="16"/>
        <v>45474</v>
      </c>
      <c r="E257" s="2543"/>
      <c r="F257" s="2544"/>
      <c r="G257" s="2542">
        <f>G213</f>
        <v>45504</v>
      </c>
      <c r="H257" s="2543"/>
      <c r="I257" s="2544"/>
      <c r="J257" s="461">
        <f>J213</f>
        <v>31</v>
      </c>
      <c r="K257" s="1322"/>
      <c r="L257" s="1323"/>
      <c r="M257" s="1324"/>
      <c r="N257" s="1325"/>
      <c r="O257" s="1326"/>
      <c r="P257" s="1323"/>
      <c r="Q257" s="1324"/>
      <c r="R257" s="1328">
        <v>1</v>
      </c>
      <c r="S257" s="461" t="s">
        <v>156</v>
      </c>
      <c r="T257" s="1327">
        <v>22</v>
      </c>
      <c r="U257" s="461"/>
      <c r="V257" s="1329"/>
    </row>
    <row r="258" spans="1:27" s="1330" customFormat="1" ht="18" hidden="1" customHeight="1">
      <c r="A258" s="1772"/>
      <c r="B258" s="1321"/>
      <c r="C258" s="1138" t="s">
        <v>919</v>
      </c>
      <c r="D258" s="2542">
        <f t="shared" si="16"/>
        <v>45505</v>
      </c>
      <c r="E258" s="2543"/>
      <c r="F258" s="2544"/>
      <c r="G258" s="2542">
        <f>G124</f>
        <v>45534</v>
      </c>
      <c r="H258" s="2543"/>
      <c r="I258" s="2544"/>
      <c r="J258" s="461">
        <f>J214</f>
        <v>30</v>
      </c>
      <c r="K258" s="1322"/>
      <c r="L258" s="1323"/>
      <c r="M258" s="1324"/>
      <c r="N258" s="1325"/>
      <c r="O258" s="1326"/>
      <c r="P258" s="1323"/>
      <c r="Q258" s="1324"/>
      <c r="R258" s="1328">
        <v>1</v>
      </c>
      <c r="S258" s="461" t="s">
        <v>156</v>
      </c>
      <c r="T258" s="1327">
        <v>23</v>
      </c>
      <c r="U258" s="461"/>
      <c r="V258" s="1329"/>
    </row>
    <row r="259" spans="1:27" s="1330" customFormat="1" ht="18" hidden="1" customHeight="1">
      <c r="A259" s="1772"/>
      <c r="B259" s="1321"/>
      <c r="C259" s="1138" t="s">
        <v>955</v>
      </c>
      <c r="D259" s="2542">
        <f t="shared" si="16"/>
        <v>45536</v>
      </c>
      <c r="E259" s="2543"/>
      <c r="F259" s="2544"/>
      <c r="G259" s="2542">
        <f>G125</f>
        <v>45554</v>
      </c>
      <c r="H259" s="2543"/>
      <c r="I259" s="2544"/>
      <c r="J259" s="461">
        <f>J164</f>
        <v>19</v>
      </c>
      <c r="K259" s="1322"/>
      <c r="L259" s="1323"/>
      <c r="M259" s="1324"/>
      <c r="N259" s="1325"/>
      <c r="O259" s="1326"/>
      <c r="P259" s="1323"/>
      <c r="Q259" s="1324"/>
      <c r="R259" s="1328">
        <v>0.6</v>
      </c>
      <c r="S259" s="461" t="s">
        <v>156</v>
      </c>
      <c r="T259" s="1327">
        <v>24</v>
      </c>
      <c r="U259" s="461"/>
      <c r="V259" s="1329"/>
    </row>
    <row r="260" spans="1:27" s="1330" customFormat="1" ht="18" hidden="1" customHeight="1">
      <c r="A260" s="1772"/>
      <c r="B260" s="1321"/>
      <c r="C260" s="1138" t="s">
        <v>955</v>
      </c>
      <c r="D260" s="2542">
        <f t="shared" si="16"/>
        <v>45554</v>
      </c>
      <c r="E260" s="2543"/>
      <c r="F260" s="2544"/>
      <c r="G260" s="2542" t="str">
        <f>G126</f>
        <v>31/09/2024</v>
      </c>
      <c r="H260" s="2543"/>
      <c r="I260" s="2544"/>
      <c r="J260" s="461">
        <f>J165</f>
        <v>12</v>
      </c>
      <c r="K260" s="1322"/>
      <c r="L260" s="1323"/>
      <c r="M260" s="1324"/>
      <c r="N260" s="1325"/>
      <c r="O260" s="1326"/>
      <c r="P260" s="1323"/>
      <c r="Q260" s="1324"/>
      <c r="R260" s="1328">
        <v>0.4</v>
      </c>
      <c r="S260" s="461" t="s">
        <v>156</v>
      </c>
      <c r="T260" s="1327">
        <v>25</v>
      </c>
      <c r="U260" s="461"/>
      <c r="V260" s="1329"/>
    </row>
    <row r="261" spans="1:27" s="1330" customFormat="1" ht="18" hidden="1" customHeight="1">
      <c r="A261" s="1772"/>
      <c r="B261" s="1321"/>
      <c r="C261" s="1138" t="s">
        <v>1009</v>
      </c>
      <c r="D261" s="2542">
        <f t="shared" si="16"/>
        <v>45566</v>
      </c>
      <c r="E261" s="2543"/>
      <c r="F261" s="2544"/>
      <c r="G261" s="2542">
        <f>G127</f>
        <v>45596</v>
      </c>
      <c r="H261" s="2543"/>
      <c r="I261" s="2544"/>
      <c r="J261" s="461">
        <f t="shared" ref="J261:J266" si="17">J216</f>
        <v>31</v>
      </c>
      <c r="K261" s="1322"/>
      <c r="L261" s="1323"/>
      <c r="M261" s="1324"/>
      <c r="N261" s="1325"/>
      <c r="O261" s="1326"/>
      <c r="P261" s="1323"/>
      <c r="Q261" s="1324"/>
      <c r="R261" s="1328">
        <v>1</v>
      </c>
      <c r="S261" s="461" t="s">
        <v>156</v>
      </c>
      <c r="T261" s="1327">
        <v>25</v>
      </c>
      <c r="U261" s="461"/>
      <c r="V261" s="1329"/>
    </row>
    <row r="262" spans="1:27" s="1330" customFormat="1" ht="18" hidden="1" customHeight="1">
      <c r="A262" s="1772"/>
      <c r="B262" s="1321"/>
      <c r="C262" s="1138" t="s">
        <v>1010</v>
      </c>
      <c r="D262" s="2542">
        <f t="shared" si="16"/>
        <v>45597</v>
      </c>
      <c r="E262" s="2543"/>
      <c r="F262" s="2544"/>
      <c r="G262" s="2542">
        <f>G217</f>
        <v>45626</v>
      </c>
      <c r="H262" s="2543"/>
      <c r="I262" s="2544"/>
      <c r="J262" s="461">
        <f t="shared" si="17"/>
        <v>30</v>
      </c>
      <c r="K262" s="1322"/>
      <c r="L262" s="1323"/>
      <c r="M262" s="1324"/>
      <c r="N262" s="1325"/>
      <c r="O262" s="1326"/>
      <c r="P262" s="1323"/>
      <c r="Q262" s="1324"/>
      <c r="R262" s="1328">
        <v>1</v>
      </c>
      <c r="S262" s="461" t="s">
        <v>156</v>
      </c>
      <c r="T262" s="1327">
        <v>25</v>
      </c>
      <c r="U262" s="461"/>
      <c r="V262" s="1329"/>
    </row>
    <row r="263" spans="1:27" s="1330" customFormat="1" ht="18" hidden="1" customHeight="1">
      <c r="A263" s="1772"/>
      <c r="B263" s="1321"/>
      <c r="C263" s="1138" t="s">
        <v>1011</v>
      </c>
      <c r="D263" s="2542">
        <f t="shared" si="16"/>
        <v>45627</v>
      </c>
      <c r="E263" s="2543"/>
      <c r="F263" s="2544"/>
      <c r="G263" s="2542">
        <f>G218</f>
        <v>45657</v>
      </c>
      <c r="H263" s="2543"/>
      <c r="I263" s="2544"/>
      <c r="J263" s="461">
        <f t="shared" si="17"/>
        <v>31</v>
      </c>
      <c r="K263" s="1322"/>
      <c r="L263" s="1323"/>
      <c r="M263" s="1324"/>
      <c r="N263" s="1325"/>
      <c r="O263" s="1326"/>
      <c r="P263" s="1323"/>
      <c r="Q263" s="1324"/>
      <c r="R263" s="1328">
        <v>1</v>
      </c>
      <c r="S263" s="461" t="s">
        <v>156</v>
      </c>
      <c r="T263" s="1327">
        <v>25</v>
      </c>
      <c r="U263" s="461"/>
      <c r="V263" s="1329"/>
    </row>
    <row r="264" spans="1:27" s="1330" customFormat="1" ht="18" hidden="1" customHeight="1">
      <c r="A264" s="1772"/>
      <c r="B264" s="1321"/>
      <c r="C264" s="1138" t="s">
        <v>1012</v>
      </c>
      <c r="D264" s="2542">
        <f t="shared" si="16"/>
        <v>45658</v>
      </c>
      <c r="E264" s="2543"/>
      <c r="F264" s="2544"/>
      <c r="G264" s="2542">
        <f>G219</f>
        <v>45688</v>
      </c>
      <c r="H264" s="2543"/>
      <c r="I264" s="2544"/>
      <c r="J264" s="461">
        <f t="shared" si="17"/>
        <v>31</v>
      </c>
      <c r="K264" s="1325"/>
      <c r="L264" s="1323"/>
      <c r="M264" s="1324"/>
      <c r="N264" s="1325"/>
      <c r="O264" s="1326"/>
      <c r="P264" s="1323"/>
      <c r="Q264" s="1324"/>
      <c r="R264" s="1328">
        <v>1</v>
      </c>
      <c r="S264" s="461" t="s">
        <v>156</v>
      </c>
      <c r="T264" s="1327">
        <v>25</v>
      </c>
      <c r="U264" s="461"/>
      <c r="V264" s="1329"/>
    </row>
    <row r="265" spans="1:27" s="1330" customFormat="1" ht="18" hidden="1" customHeight="1">
      <c r="A265" s="1772"/>
      <c r="B265" s="1321"/>
      <c r="C265" s="1138" t="s">
        <v>1102</v>
      </c>
      <c r="D265" s="2542">
        <f t="shared" si="16"/>
        <v>45689</v>
      </c>
      <c r="E265" s="2543"/>
      <c r="F265" s="2544"/>
      <c r="G265" s="2542">
        <f>G220</f>
        <v>45716</v>
      </c>
      <c r="H265" s="2543"/>
      <c r="I265" s="2544"/>
      <c r="J265" s="461">
        <f t="shared" si="17"/>
        <v>28</v>
      </c>
      <c r="K265" s="1325"/>
      <c r="L265" s="1323"/>
      <c r="M265" s="1324"/>
      <c r="N265" s="1325"/>
      <c r="O265" s="1326"/>
      <c r="P265" s="1323"/>
      <c r="Q265" s="1324"/>
      <c r="R265" s="1328">
        <v>1</v>
      </c>
      <c r="S265" s="461" t="s">
        <v>156</v>
      </c>
      <c r="T265" s="1327">
        <v>26</v>
      </c>
      <c r="U265" s="461"/>
      <c r="V265" s="1329"/>
    </row>
    <row r="266" spans="1:27" s="1330" customFormat="1" ht="18" hidden="1" customHeight="1">
      <c r="A266" s="1772"/>
      <c r="B266" s="1615"/>
      <c r="C266" s="1616" t="s">
        <v>1103</v>
      </c>
      <c r="D266" s="2746">
        <f t="shared" si="16"/>
        <v>45717</v>
      </c>
      <c r="E266" s="2747"/>
      <c r="F266" s="2748"/>
      <c r="G266" s="2746">
        <f>G221</f>
        <v>45747</v>
      </c>
      <c r="H266" s="2747"/>
      <c r="I266" s="2748"/>
      <c r="J266" s="619">
        <f t="shared" si="17"/>
        <v>31</v>
      </c>
      <c r="K266" s="1322"/>
      <c r="L266" s="1617"/>
      <c r="M266" s="1618"/>
      <c r="N266" s="1322"/>
      <c r="O266" s="1619"/>
      <c r="P266" s="1617"/>
      <c r="Q266" s="1618"/>
      <c r="R266" s="1620">
        <v>0.6</v>
      </c>
      <c r="S266" s="619" t="s">
        <v>156</v>
      </c>
      <c r="T266" s="1621">
        <v>27</v>
      </c>
      <c r="U266" s="619"/>
      <c r="V266" s="1329"/>
    </row>
    <row r="267" spans="1:27" s="40" customFormat="1" ht="15.75" hidden="1" customHeight="1">
      <c r="A267" s="1106"/>
      <c r="B267" s="1622"/>
      <c r="C267" s="1623"/>
      <c r="D267" s="2548" t="s">
        <v>257</v>
      </c>
      <c r="E267" s="2549"/>
      <c r="F267" s="2549"/>
      <c r="G267" s="2549"/>
      <c r="H267" s="2549"/>
      <c r="I267" s="2550"/>
      <c r="J267" s="2490">
        <f>VLOOKUP(A269,'11 - FINANCEIRA'!$A$16:$AE$156,30,FALSE)</f>
        <v>30</v>
      </c>
      <c r="K267" s="2491"/>
      <c r="L267" s="590" t="str">
        <f>VLOOKUP(A269,'11 - FINANCEIRA'!_xlnm.Print_Area,4,FALSE)</f>
        <v>mês</v>
      </c>
      <c r="M267" s="2561" t="s">
        <v>258</v>
      </c>
      <c r="N267" s="2562"/>
      <c r="O267" s="2562"/>
      <c r="P267" s="2562"/>
      <c r="Q267" s="2563"/>
      <c r="R267" s="375">
        <f>SUM(R234:R266)</f>
        <v>30</v>
      </c>
      <c r="S267" s="591" t="str">
        <f>L267</f>
        <v>mês</v>
      </c>
      <c r="T267" s="390"/>
      <c r="U267" s="391"/>
      <c r="V267" s="174">
        <f>V268</f>
        <v>0</v>
      </c>
    </row>
    <row r="268" spans="1:27" s="40" customFormat="1" ht="15.75" hidden="1" customHeight="1">
      <c r="A268" s="1106"/>
      <c r="B268" s="371"/>
      <c r="C268" s="374"/>
      <c r="D268" s="2505" t="s">
        <v>259</v>
      </c>
      <c r="E268" s="2506"/>
      <c r="F268" s="2506"/>
      <c r="G268" s="2506"/>
      <c r="H268" s="2506"/>
      <c r="I268" s="2507"/>
      <c r="J268" s="2511">
        <f>R267/J267</f>
        <v>1</v>
      </c>
      <c r="K268" s="2512"/>
      <c r="L268" s="2559"/>
      <c r="M268" s="2561" t="s">
        <v>260</v>
      </c>
      <c r="N268" s="2562"/>
      <c r="O268" s="2562"/>
      <c r="P268" s="2562"/>
      <c r="Q268" s="2563"/>
      <c r="R268" s="375">
        <f>VLOOKUP(A269,'11 - FINANCEIRA'!_xlnm.Print_Area,8,FALSE)</f>
        <v>30</v>
      </c>
      <c r="S268" s="376" t="str">
        <f>L267</f>
        <v>mês</v>
      </c>
      <c r="T268" s="372"/>
      <c r="U268" s="373"/>
      <c r="V268" s="174">
        <f>V269</f>
        <v>0</v>
      </c>
    </row>
    <row r="269" spans="1:27" s="40" customFormat="1" ht="15.75" hidden="1" customHeight="1">
      <c r="A269" s="1106" t="s">
        <v>23</v>
      </c>
      <c r="B269" s="371"/>
      <c r="C269" s="377"/>
      <c r="D269" s="2551"/>
      <c r="E269" s="2552"/>
      <c r="F269" s="2552"/>
      <c r="G269" s="2552"/>
      <c r="H269" s="2552"/>
      <c r="I269" s="2553"/>
      <c r="J269" s="2530"/>
      <c r="K269" s="2531"/>
      <c r="L269" s="2560"/>
      <c r="M269" s="2561" t="s">
        <v>261</v>
      </c>
      <c r="N269" s="2562"/>
      <c r="O269" s="2562"/>
      <c r="P269" s="2562"/>
      <c r="Q269" s="2563"/>
      <c r="R269" s="378">
        <f>R267-R268</f>
        <v>0</v>
      </c>
      <c r="S269" s="379" t="str">
        <f>L267</f>
        <v>mês</v>
      </c>
      <c r="T269" s="372"/>
      <c r="U269" s="373"/>
      <c r="V269" s="174">
        <f>R269</f>
        <v>0</v>
      </c>
    </row>
    <row r="270" spans="1:27" s="40" customFormat="1" hidden="1">
      <c r="A270" s="1106"/>
      <c r="B270" s="394"/>
      <c r="C270" s="395"/>
      <c r="D270" s="396"/>
      <c r="E270" s="397"/>
      <c r="F270" s="396"/>
      <c r="G270" s="396"/>
      <c r="H270" s="396"/>
      <c r="I270" s="396"/>
      <c r="J270" s="398"/>
      <c r="K270" s="399"/>
      <c r="L270" s="400"/>
      <c r="M270" s="401"/>
      <c r="N270" s="401"/>
      <c r="O270" s="401"/>
      <c r="P270" s="401"/>
      <c r="Q270" s="401"/>
      <c r="R270" s="402"/>
      <c r="S270" s="403"/>
      <c r="T270" s="404"/>
      <c r="U270" s="405"/>
      <c r="V270" s="265">
        <f>SUM(V232:V269)</f>
        <v>0</v>
      </c>
    </row>
    <row r="271" spans="1:27" s="176" customFormat="1" ht="43.5" hidden="1" customHeight="1">
      <c r="A271" s="1106"/>
      <c r="B271" s="2494">
        <f>VLOOKUP(A308,'11 - FINANCEIRA'!_xlnm.Print_Area,2,FALSE)</f>
        <v>20354</v>
      </c>
      <c r="C271" s="2492" t="str">
        <f>VLOOKUP(A308,'11 - FINANCEIRA'!_xlnm.Print_Area,3,FALSE)</f>
        <v>Aluguel Mensal Container Para Vestiário, Incl. Porta, Venezianas De Circulação, 1 Pt Iluminação, Isolamento Térmico (Teto), Piso Em Comp. Naval Pintado, Cert. Nr18, Incl. Laudo Descontaminação.</v>
      </c>
      <c r="D271" s="2581" t="s">
        <v>263</v>
      </c>
      <c r="E271" s="2582"/>
      <c r="F271" s="2582"/>
      <c r="G271" s="2582"/>
      <c r="H271" s="2582"/>
      <c r="I271" s="2583"/>
      <c r="J271" s="2496" t="s">
        <v>264</v>
      </c>
      <c r="K271" s="2496" t="s">
        <v>244</v>
      </c>
      <c r="L271" s="2496" t="s">
        <v>245</v>
      </c>
      <c r="M271" s="2496" t="s">
        <v>246</v>
      </c>
      <c r="N271" s="2496" t="s">
        <v>247</v>
      </c>
      <c r="O271" s="2496" t="s">
        <v>248</v>
      </c>
      <c r="P271" s="2496" t="s">
        <v>265</v>
      </c>
      <c r="Q271" s="2496" t="s">
        <v>139</v>
      </c>
      <c r="R271" s="2577" t="s">
        <v>139</v>
      </c>
      <c r="S271" s="2496" t="s">
        <v>251</v>
      </c>
      <c r="T271" s="2496" t="s">
        <v>252</v>
      </c>
      <c r="U271" s="2586" t="s">
        <v>253</v>
      </c>
      <c r="V271" s="174">
        <f>V272</f>
        <v>0</v>
      </c>
      <c r="W271" s="175"/>
      <c r="X271" s="175"/>
      <c r="Y271" s="175"/>
      <c r="Z271" s="175"/>
      <c r="AA271" s="175"/>
    </row>
    <row r="272" spans="1:27" s="176" customFormat="1" hidden="1">
      <c r="A272" s="1106"/>
      <c r="B272" s="2495"/>
      <c r="C272" s="2493"/>
      <c r="D272" s="2588" t="s">
        <v>254</v>
      </c>
      <c r="E272" s="2589"/>
      <c r="F272" s="2590"/>
      <c r="G272" s="2591" t="s">
        <v>255</v>
      </c>
      <c r="H272" s="2592"/>
      <c r="I272" s="2593"/>
      <c r="J272" s="2497"/>
      <c r="K272" s="2497"/>
      <c r="L272" s="2497"/>
      <c r="M272" s="2497"/>
      <c r="N272" s="2497"/>
      <c r="O272" s="2497"/>
      <c r="P272" s="2497"/>
      <c r="Q272" s="2497"/>
      <c r="R272" s="2578"/>
      <c r="S272" s="2497"/>
      <c r="T272" s="2497"/>
      <c r="U272" s="2587"/>
      <c r="V272" s="174">
        <f>V273</f>
        <v>0</v>
      </c>
      <c r="W272" s="175"/>
      <c r="X272" s="175"/>
      <c r="Y272" s="175"/>
      <c r="Z272" s="175"/>
      <c r="AA272" s="175"/>
    </row>
    <row r="273" spans="1:27" s="176" customFormat="1" hidden="1">
      <c r="A273" s="1106"/>
      <c r="B273" s="336"/>
      <c r="C273" s="337" t="s">
        <v>292</v>
      </c>
      <c r="D273" s="2703">
        <v>44823</v>
      </c>
      <c r="E273" s="2704"/>
      <c r="F273" s="2705"/>
      <c r="G273" s="2706">
        <v>44834</v>
      </c>
      <c r="H273" s="2707"/>
      <c r="I273" s="2708"/>
      <c r="J273" s="275">
        <f>G273-D273+1</f>
        <v>12</v>
      </c>
      <c r="K273" s="275"/>
      <c r="L273" s="275"/>
      <c r="M273" s="275"/>
      <c r="N273" s="275"/>
      <c r="O273" s="275"/>
      <c r="P273" s="338"/>
      <c r="Q273" s="275"/>
      <c r="R273" s="191">
        <f>J273/30</f>
        <v>0.4</v>
      </c>
      <c r="S273" s="275" t="s">
        <v>156</v>
      </c>
      <c r="T273" s="276">
        <v>1</v>
      </c>
      <c r="U273" s="335"/>
      <c r="V273" s="174">
        <f>V274</f>
        <v>0</v>
      </c>
      <c r="W273" s="175"/>
      <c r="X273" s="175"/>
      <c r="Y273" s="175"/>
      <c r="Z273" s="175"/>
      <c r="AA273" s="175"/>
    </row>
    <row r="274" spans="1:27" s="176" customFormat="1" hidden="1">
      <c r="A274" s="1106"/>
      <c r="B274" s="296"/>
      <c r="C274" s="339" t="s">
        <v>293</v>
      </c>
      <c r="D274" s="2533">
        <v>44835</v>
      </c>
      <c r="E274" s="2534"/>
      <c r="F274" s="2535"/>
      <c r="G274" s="2536">
        <v>44865</v>
      </c>
      <c r="H274" s="2537"/>
      <c r="I274" s="2538"/>
      <c r="J274" s="192">
        <v>31</v>
      </c>
      <c r="K274" s="297"/>
      <c r="L274" s="192"/>
      <c r="M274" s="299"/>
      <c r="N274" s="298"/>
      <c r="O274" s="297"/>
      <c r="P274" s="303"/>
      <c r="Q274" s="299"/>
      <c r="R274" s="304">
        <v>1</v>
      </c>
      <c r="S274" s="392" t="s">
        <v>156</v>
      </c>
      <c r="T274" s="193">
        <v>2</v>
      </c>
      <c r="U274" s="341"/>
      <c r="V274" s="174">
        <f>V275</f>
        <v>0</v>
      </c>
      <c r="W274" s="175"/>
      <c r="X274" s="175"/>
      <c r="Y274" s="175"/>
      <c r="Z274" s="175"/>
      <c r="AA274" s="175"/>
    </row>
    <row r="275" spans="1:27" s="222" customFormat="1" hidden="1">
      <c r="A275" s="1106"/>
      <c r="B275" s="342"/>
      <c r="C275" s="339" t="s">
        <v>294</v>
      </c>
      <c r="D275" s="2533">
        <v>44866</v>
      </c>
      <c r="E275" s="2534"/>
      <c r="F275" s="2535"/>
      <c r="G275" s="2533">
        <v>44895</v>
      </c>
      <c r="H275" s="2534"/>
      <c r="I275" s="2535"/>
      <c r="J275" s="340">
        <v>30</v>
      </c>
      <c r="K275" s="344"/>
      <c r="L275" s="344"/>
      <c r="M275" s="344"/>
      <c r="N275" s="344"/>
      <c r="O275" s="345"/>
      <c r="P275" s="344"/>
      <c r="Q275" s="345"/>
      <c r="R275" s="346">
        <v>1</v>
      </c>
      <c r="S275" s="504" t="s">
        <v>156</v>
      </c>
      <c r="T275" s="347">
        <v>3</v>
      </c>
      <c r="U275" s="393"/>
      <c r="V275" s="174">
        <f>V288</f>
        <v>0</v>
      </c>
    </row>
    <row r="276" spans="1:27" s="222" customFormat="1" hidden="1">
      <c r="A276" s="1106"/>
      <c r="B276" s="348"/>
      <c r="C276" s="343" t="s">
        <v>295</v>
      </c>
      <c r="D276" s="2533">
        <v>44896</v>
      </c>
      <c r="E276" s="2534"/>
      <c r="F276" s="2535"/>
      <c r="G276" s="2533">
        <v>44926</v>
      </c>
      <c r="H276" s="2534"/>
      <c r="I276" s="2535"/>
      <c r="J276" s="340">
        <v>31</v>
      </c>
      <c r="K276" s="349"/>
      <c r="L276" s="350"/>
      <c r="M276" s="351"/>
      <c r="N276" s="352"/>
      <c r="O276" s="353"/>
      <c r="P276" s="350"/>
      <c r="Q276" s="354"/>
      <c r="R276" s="346">
        <v>1</v>
      </c>
      <c r="S276" s="340" t="s">
        <v>156</v>
      </c>
      <c r="T276" s="355">
        <v>4</v>
      </c>
      <c r="U276" s="407"/>
      <c r="V276" s="174">
        <f>V288</f>
        <v>0</v>
      </c>
    </row>
    <row r="277" spans="1:27" s="222" customFormat="1" hidden="1">
      <c r="A277" s="1106"/>
      <c r="B277" s="348"/>
      <c r="C277" s="343" t="s">
        <v>296</v>
      </c>
      <c r="D277" s="2533">
        <v>44927</v>
      </c>
      <c r="E277" s="2534"/>
      <c r="F277" s="2535"/>
      <c r="G277" s="2533">
        <v>44957</v>
      </c>
      <c r="H277" s="2534"/>
      <c r="I277" s="2535"/>
      <c r="J277" s="340">
        <v>31</v>
      </c>
      <c r="K277" s="349"/>
      <c r="L277" s="350"/>
      <c r="M277" s="351"/>
      <c r="N277" s="352"/>
      <c r="O277" s="353"/>
      <c r="P277" s="350"/>
      <c r="Q277" s="354"/>
      <c r="R277" s="356">
        <v>1</v>
      </c>
      <c r="S277" s="340" t="s">
        <v>156</v>
      </c>
      <c r="T277" s="355">
        <v>5</v>
      </c>
      <c r="U277" s="408"/>
      <c r="V277" s="174">
        <f>V288</f>
        <v>0</v>
      </c>
    </row>
    <row r="278" spans="1:27" s="175" customFormat="1" hidden="1">
      <c r="A278" s="1110"/>
      <c r="B278" s="348"/>
      <c r="C278" s="343" t="s">
        <v>297</v>
      </c>
      <c r="D278" s="2533">
        <v>44958</v>
      </c>
      <c r="E278" s="2534"/>
      <c r="F278" s="2535"/>
      <c r="G278" s="2533">
        <v>44985</v>
      </c>
      <c r="H278" s="2534"/>
      <c r="I278" s="2535"/>
      <c r="J278" s="357">
        <v>28</v>
      </c>
      <c r="K278" s="349"/>
      <c r="L278" s="350"/>
      <c r="M278" s="351"/>
      <c r="N278" s="352"/>
      <c r="O278" s="353"/>
      <c r="P278" s="350"/>
      <c r="Q278" s="354"/>
      <c r="R278" s="356">
        <v>1</v>
      </c>
      <c r="S278" s="357" t="s">
        <v>156</v>
      </c>
      <c r="T278" s="355">
        <v>6</v>
      </c>
      <c r="U278" s="408"/>
      <c r="V278" s="306">
        <f>V288</f>
        <v>0</v>
      </c>
    </row>
    <row r="279" spans="1:27" s="175" customFormat="1" hidden="1">
      <c r="A279" s="1110"/>
      <c r="B279" s="348"/>
      <c r="C279" s="343" t="s">
        <v>529</v>
      </c>
      <c r="D279" s="2533">
        <v>44986</v>
      </c>
      <c r="E279" s="2534"/>
      <c r="F279" s="2535"/>
      <c r="G279" s="2533">
        <v>45013</v>
      </c>
      <c r="H279" s="2534"/>
      <c r="I279" s="2535"/>
      <c r="J279" s="357">
        <v>31</v>
      </c>
      <c r="K279" s="349"/>
      <c r="L279" s="350"/>
      <c r="M279" s="351"/>
      <c r="N279" s="352"/>
      <c r="O279" s="353"/>
      <c r="P279" s="350"/>
      <c r="Q279" s="354"/>
      <c r="R279" s="356">
        <v>0.6</v>
      </c>
      <c r="S279" s="357" t="s">
        <v>156</v>
      </c>
      <c r="T279" s="355">
        <v>7</v>
      </c>
      <c r="U279" s="408"/>
      <c r="V279" s="306">
        <f>V288</f>
        <v>0</v>
      </c>
    </row>
    <row r="280" spans="1:27" s="175" customFormat="1" hidden="1">
      <c r="A280" s="1110"/>
      <c r="B280" s="348"/>
      <c r="C280" s="339" t="s">
        <v>573</v>
      </c>
      <c r="D280" s="2533">
        <v>44670</v>
      </c>
      <c r="E280" s="2534"/>
      <c r="F280" s="2535"/>
      <c r="G280" s="2536">
        <v>44681</v>
      </c>
      <c r="H280" s="2537"/>
      <c r="I280" s="2538"/>
      <c r="J280" s="340">
        <v>30</v>
      </c>
      <c r="K280" s="340"/>
      <c r="L280" s="340"/>
      <c r="M280" s="340"/>
      <c r="N280" s="340"/>
      <c r="O280" s="340"/>
      <c r="P280" s="461"/>
      <c r="Q280" s="340"/>
      <c r="R280" s="462">
        <v>0.4</v>
      </c>
      <c r="S280" s="340" t="s">
        <v>156</v>
      </c>
      <c r="T280" s="347">
        <v>12</v>
      </c>
      <c r="U280" s="812" t="s">
        <v>493</v>
      </c>
      <c r="V280" s="306"/>
    </row>
    <row r="281" spans="1:27" s="175" customFormat="1" hidden="1">
      <c r="A281" s="1110"/>
      <c r="B281" s="348"/>
      <c r="C281" s="339" t="s">
        <v>574</v>
      </c>
      <c r="D281" s="2533">
        <v>44670</v>
      </c>
      <c r="E281" s="2534"/>
      <c r="F281" s="2535"/>
      <c r="G281" s="2536">
        <v>44681</v>
      </c>
      <c r="H281" s="2537"/>
      <c r="I281" s="2538"/>
      <c r="J281" s="340">
        <v>30</v>
      </c>
      <c r="K281" s="340"/>
      <c r="L281" s="340"/>
      <c r="M281" s="340"/>
      <c r="N281" s="340"/>
      <c r="O281" s="340"/>
      <c r="P281" s="461"/>
      <c r="Q281" s="340"/>
      <c r="R281" s="462">
        <f>J281/30</f>
        <v>1</v>
      </c>
      <c r="S281" s="340" t="s">
        <v>156</v>
      </c>
      <c r="T281" s="347">
        <v>12</v>
      </c>
      <c r="U281" s="408" t="s">
        <v>493</v>
      </c>
      <c r="V281" s="306"/>
    </row>
    <row r="282" spans="1:27" s="175" customFormat="1" hidden="1">
      <c r="A282" s="1110"/>
      <c r="B282" s="348"/>
      <c r="C282" s="339" t="s">
        <v>575</v>
      </c>
      <c r="D282" s="2533">
        <v>44682</v>
      </c>
      <c r="E282" s="2534"/>
      <c r="F282" s="2535"/>
      <c r="G282" s="2536">
        <v>44712</v>
      </c>
      <c r="H282" s="2537"/>
      <c r="I282" s="2538"/>
      <c r="J282" s="192">
        <v>31</v>
      </c>
      <c r="K282" s="560"/>
      <c r="L282" s="340"/>
      <c r="M282" s="463"/>
      <c r="N282" s="464"/>
      <c r="O282" s="560"/>
      <c r="P282" s="461"/>
      <c r="Q282" s="463"/>
      <c r="R282" s="462">
        <v>1</v>
      </c>
      <c r="S282" s="340" t="s">
        <v>156</v>
      </c>
      <c r="T282" s="347">
        <v>12</v>
      </c>
      <c r="U282" s="408" t="s">
        <v>493</v>
      </c>
      <c r="V282" s="306"/>
    </row>
    <row r="283" spans="1:27" s="175" customFormat="1" hidden="1">
      <c r="A283" s="1110"/>
      <c r="B283" s="348"/>
      <c r="C283" s="343" t="s">
        <v>576</v>
      </c>
      <c r="D283" s="2533">
        <v>44713</v>
      </c>
      <c r="E283" s="2534"/>
      <c r="F283" s="2535"/>
      <c r="G283" s="2533">
        <v>44742</v>
      </c>
      <c r="H283" s="2534"/>
      <c r="I283" s="2535"/>
      <c r="J283" s="340">
        <v>30</v>
      </c>
      <c r="K283" s="344"/>
      <c r="L283" s="344"/>
      <c r="M283" s="344"/>
      <c r="N283" s="344"/>
      <c r="O283" s="345"/>
      <c r="P283" s="344"/>
      <c r="Q283" s="345"/>
      <c r="R283" s="346">
        <v>1</v>
      </c>
      <c r="S283" s="340" t="s">
        <v>156</v>
      </c>
      <c r="T283" s="347">
        <v>12</v>
      </c>
      <c r="U283" s="408" t="s">
        <v>493</v>
      </c>
      <c r="V283" s="306"/>
    </row>
    <row r="284" spans="1:27" s="175" customFormat="1" hidden="1">
      <c r="A284" s="1110"/>
      <c r="B284" s="348"/>
      <c r="C284" s="343" t="s">
        <v>577</v>
      </c>
      <c r="D284" s="2533">
        <v>44743</v>
      </c>
      <c r="E284" s="2534"/>
      <c r="F284" s="2535"/>
      <c r="G284" s="2533">
        <v>44773</v>
      </c>
      <c r="H284" s="2534"/>
      <c r="I284" s="2535"/>
      <c r="J284" s="340">
        <v>31</v>
      </c>
      <c r="K284" s="349"/>
      <c r="L284" s="350"/>
      <c r="M284" s="351"/>
      <c r="N284" s="352"/>
      <c r="O284" s="353"/>
      <c r="P284" s="350"/>
      <c r="Q284" s="354"/>
      <c r="R284" s="346">
        <v>1</v>
      </c>
      <c r="S284" s="340" t="s">
        <v>156</v>
      </c>
      <c r="T284" s="347">
        <v>12</v>
      </c>
      <c r="U284" s="408" t="s">
        <v>493</v>
      </c>
      <c r="V284" s="306"/>
    </row>
    <row r="285" spans="1:27" s="175" customFormat="1" hidden="1">
      <c r="A285" s="1110"/>
      <c r="B285" s="348"/>
      <c r="C285" s="343" t="s">
        <v>578</v>
      </c>
      <c r="D285" s="2533">
        <v>45139</v>
      </c>
      <c r="E285" s="2534"/>
      <c r="F285" s="2535"/>
      <c r="G285" s="2533">
        <v>45169</v>
      </c>
      <c r="H285" s="2534"/>
      <c r="I285" s="2535"/>
      <c r="J285" s="340">
        <v>31</v>
      </c>
      <c r="K285" s="349"/>
      <c r="L285" s="350"/>
      <c r="M285" s="351"/>
      <c r="N285" s="352"/>
      <c r="O285" s="353"/>
      <c r="P285" s="350"/>
      <c r="Q285" s="354"/>
      <c r="R285" s="356">
        <v>1</v>
      </c>
      <c r="S285" s="340" t="s">
        <v>156</v>
      </c>
      <c r="T285" s="347">
        <v>12</v>
      </c>
      <c r="U285" s="408" t="s">
        <v>493</v>
      </c>
      <c r="V285" s="306"/>
    </row>
    <row r="286" spans="1:27" s="175" customFormat="1" hidden="1">
      <c r="A286" s="1110"/>
      <c r="B286" s="348"/>
      <c r="C286" s="343" t="s">
        <v>579</v>
      </c>
      <c r="D286" s="2533">
        <v>45170</v>
      </c>
      <c r="E286" s="2534"/>
      <c r="F286" s="2535"/>
      <c r="G286" s="2533">
        <v>45199</v>
      </c>
      <c r="H286" s="2534"/>
      <c r="I286" s="2535"/>
      <c r="J286" s="340">
        <v>30</v>
      </c>
      <c r="K286" s="349"/>
      <c r="L286" s="350"/>
      <c r="M286" s="351"/>
      <c r="N286" s="352"/>
      <c r="O286" s="353"/>
      <c r="P286" s="350"/>
      <c r="Q286" s="354"/>
      <c r="R286" s="356">
        <v>1</v>
      </c>
      <c r="S286" s="1070" t="s">
        <v>156</v>
      </c>
      <c r="T286" s="347">
        <v>13</v>
      </c>
      <c r="U286" s="812"/>
      <c r="V286" s="306"/>
    </row>
    <row r="287" spans="1:27" s="175" customFormat="1" hidden="1">
      <c r="A287" s="1110"/>
      <c r="B287" s="348"/>
      <c r="C287" s="343" t="s">
        <v>590</v>
      </c>
      <c r="D287" s="2533">
        <v>45200</v>
      </c>
      <c r="E287" s="2534"/>
      <c r="F287" s="2535"/>
      <c r="G287" s="2533">
        <v>45230</v>
      </c>
      <c r="H287" s="2534"/>
      <c r="I287" s="2535"/>
      <c r="J287" s="340">
        <v>30</v>
      </c>
      <c r="K287" s="349"/>
      <c r="L287" s="350"/>
      <c r="M287" s="351"/>
      <c r="N287" s="352"/>
      <c r="O287" s="353"/>
      <c r="P287" s="350"/>
      <c r="Q287" s="354"/>
      <c r="R287" s="356">
        <v>1</v>
      </c>
      <c r="S287" s="1070" t="s">
        <v>156</v>
      </c>
      <c r="T287" s="347">
        <v>14</v>
      </c>
      <c r="U287" s="812"/>
      <c r="V287" s="306"/>
    </row>
    <row r="288" spans="1:27" s="175" customFormat="1" hidden="1">
      <c r="A288" s="1110"/>
      <c r="B288" s="348"/>
      <c r="C288" s="339" t="s">
        <v>650</v>
      </c>
      <c r="D288" s="2533">
        <v>45231</v>
      </c>
      <c r="E288" s="2534"/>
      <c r="F288" s="2535"/>
      <c r="G288" s="2533" t="s">
        <v>601</v>
      </c>
      <c r="H288" s="2534"/>
      <c r="I288" s="2535"/>
      <c r="J288" s="340">
        <v>30</v>
      </c>
      <c r="K288" s="349"/>
      <c r="L288" s="350"/>
      <c r="M288" s="351"/>
      <c r="N288" s="352"/>
      <c r="O288" s="353"/>
      <c r="P288" s="350"/>
      <c r="Q288" s="354"/>
      <c r="R288" s="356">
        <v>1</v>
      </c>
      <c r="S288" s="1070" t="s">
        <v>156</v>
      </c>
      <c r="T288" s="347">
        <v>15</v>
      </c>
      <c r="U288" s="812"/>
      <c r="V288" s="306"/>
    </row>
    <row r="289" spans="1:22" s="175" customFormat="1" hidden="1">
      <c r="A289" s="1110"/>
      <c r="B289" s="342"/>
      <c r="C289" s="343" t="s">
        <v>651</v>
      </c>
      <c r="D289" s="2533">
        <v>45261</v>
      </c>
      <c r="E289" s="2534"/>
      <c r="F289" s="2535"/>
      <c r="G289" s="2533">
        <v>45291</v>
      </c>
      <c r="H289" s="2534"/>
      <c r="I289" s="2535"/>
      <c r="J289" s="340">
        <v>30</v>
      </c>
      <c r="K289" s="504"/>
      <c r="L289" s="344"/>
      <c r="M289" s="505"/>
      <c r="N289" s="506"/>
      <c r="O289" s="406"/>
      <c r="P289" s="344"/>
      <c r="Q289" s="507"/>
      <c r="R289" s="346">
        <v>1</v>
      </c>
      <c r="S289" s="1071" t="s">
        <v>156</v>
      </c>
      <c r="T289" s="347">
        <v>16</v>
      </c>
      <c r="U289" s="408"/>
      <c r="V289" s="306"/>
    </row>
    <row r="290" spans="1:22" s="175" customFormat="1" hidden="1">
      <c r="A290" s="1110"/>
      <c r="B290" s="342"/>
      <c r="C290" s="343" t="s">
        <v>664</v>
      </c>
      <c r="D290" s="2533">
        <v>45292</v>
      </c>
      <c r="E290" s="2534"/>
      <c r="F290" s="2535"/>
      <c r="G290" s="2533">
        <v>45322</v>
      </c>
      <c r="H290" s="2534"/>
      <c r="I290" s="2535"/>
      <c r="J290" s="340">
        <v>31</v>
      </c>
      <c r="K290" s="504"/>
      <c r="L290" s="344"/>
      <c r="M290" s="505"/>
      <c r="N290" s="506"/>
      <c r="O290" s="406"/>
      <c r="P290" s="344"/>
      <c r="Q290" s="507"/>
      <c r="R290" s="346">
        <v>1</v>
      </c>
      <c r="S290" s="1071" t="s">
        <v>156</v>
      </c>
      <c r="T290" s="347">
        <v>17</v>
      </c>
      <c r="U290" s="408"/>
      <c r="V290" s="306"/>
    </row>
    <row r="291" spans="1:22" s="175" customFormat="1" hidden="1">
      <c r="A291" s="1110"/>
      <c r="B291" s="342"/>
      <c r="C291" s="343" t="s">
        <v>724</v>
      </c>
      <c r="D291" s="2533">
        <v>45323</v>
      </c>
      <c r="E291" s="2534"/>
      <c r="F291" s="2535"/>
      <c r="G291" s="2533">
        <v>45351</v>
      </c>
      <c r="H291" s="2534"/>
      <c r="I291" s="2535"/>
      <c r="J291" s="340">
        <v>29</v>
      </c>
      <c r="K291" s="504"/>
      <c r="L291" s="344"/>
      <c r="M291" s="505"/>
      <c r="N291" s="506"/>
      <c r="O291" s="406"/>
      <c r="P291" s="344"/>
      <c r="Q291" s="507"/>
      <c r="R291" s="346">
        <v>1</v>
      </c>
      <c r="S291" s="1071" t="s">
        <v>156</v>
      </c>
      <c r="T291" s="347">
        <v>18</v>
      </c>
      <c r="U291" s="408"/>
      <c r="V291" s="306"/>
    </row>
    <row r="292" spans="1:22" s="175" customFormat="1" hidden="1">
      <c r="A292" s="1110"/>
      <c r="B292" s="342"/>
      <c r="C292" s="343" t="s">
        <v>724</v>
      </c>
      <c r="D292" s="2533">
        <v>45352</v>
      </c>
      <c r="E292" s="2534"/>
      <c r="F292" s="2535"/>
      <c r="G292" s="2533">
        <v>45382</v>
      </c>
      <c r="H292" s="2534"/>
      <c r="I292" s="2535"/>
      <c r="J292" s="340">
        <v>31</v>
      </c>
      <c r="K292" s="504"/>
      <c r="L292" s="344"/>
      <c r="M292" s="505"/>
      <c r="N292" s="506"/>
      <c r="O292" s="406"/>
      <c r="P292" s="344"/>
      <c r="Q292" s="507"/>
      <c r="R292" s="346">
        <v>1</v>
      </c>
      <c r="S292" s="1071" t="s">
        <v>156</v>
      </c>
      <c r="T292" s="347">
        <v>19</v>
      </c>
      <c r="U292" s="408"/>
      <c r="V292" s="306"/>
    </row>
    <row r="293" spans="1:22" s="175" customFormat="1" ht="15" hidden="1" customHeight="1">
      <c r="A293" s="1110"/>
      <c r="B293" s="342"/>
      <c r="C293" s="343" t="s">
        <v>741</v>
      </c>
      <c r="D293" s="2533">
        <f t="shared" ref="D293:D305" si="18">D254</f>
        <v>45383</v>
      </c>
      <c r="E293" s="2534"/>
      <c r="F293" s="2535"/>
      <c r="G293" s="2533" t="str">
        <f t="shared" ref="G293:G305" si="19">G254</f>
        <v>31/04/2024</v>
      </c>
      <c r="H293" s="2534"/>
      <c r="I293" s="2535"/>
      <c r="J293" s="340">
        <f t="shared" ref="J293:J300" si="20">J254</f>
        <v>30</v>
      </c>
      <c r="K293" s="504"/>
      <c r="L293" s="344"/>
      <c r="M293" s="505"/>
      <c r="N293" s="506"/>
      <c r="O293" s="406"/>
      <c r="P293" s="344"/>
      <c r="Q293" s="507"/>
      <c r="R293" s="346">
        <v>1</v>
      </c>
      <c r="S293" s="1071" t="s">
        <v>156</v>
      </c>
      <c r="T293" s="347">
        <v>22</v>
      </c>
      <c r="U293" s="408"/>
      <c r="V293" s="306"/>
    </row>
    <row r="294" spans="1:22" s="175" customFormat="1" hidden="1">
      <c r="A294" s="1110"/>
      <c r="B294" s="342"/>
      <c r="C294" s="343" t="s">
        <v>773</v>
      </c>
      <c r="D294" s="2533">
        <f t="shared" si="18"/>
        <v>45413</v>
      </c>
      <c r="E294" s="2534"/>
      <c r="F294" s="2535"/>
      <c r="G294" s="2533">
        <f t="shared" si="19"/>
        <v>45443</v>
      </c>
      <c r="H294" s="2534"/>
      <c r="I294" s="2535"/>
      <c r="J294" s="340">
        <f t="shared" si="20"/>
        <v>31</v>
      </c>
      <c r="K294" s="504"/>
      <c r="L294" s="344"/>
      <c r="M294" s="505"/>
      <c r="N294" s="506"/>
      <c r="O294" s="406"/>
      <c r="P294" s="344"/>
      <c r="Q294" s="507"/>
      <c r="R294" s="346">
        <v>1</v>
      </c>
      <c r="S294" s="1071" t="s">
        <v>156</v>
      </c>
      <c r="T294" s="347">
        <v>22</v>
      </c>
      <c r="U294" s="408"/>
      <c r="V294" s="306"/>
    </row>
    <row r="295" spans="1:22" s="175" customFormat="1" hidden="1">
      <c r="A295" s="1110"/>
      <c r="B295" s="342"/>
      <c r="C295" s="343" t="s">
        <v>857</v>
      </c>
      <c r="D295" s="2533">
        <f t="shared" si="18"/>
        <v>45444</v>
      </c>
      <c r="E295" s="2534"/>
      <c r="F295" s="2535"/>
      <c r="G295" s="2533" t="str">
        <f t="shared" si="19"/>
        <v>31/06/2024</v>
      </c>
      <c r="H295" s="2534"/>
      <c r="I295" s="2535"/>
      <c r="J295" s="340">
        <f t="shared" si="20"/>
        <v>30</v>
      </c>
      <c r="K295" s="504"/>
      <c r="L295" s="344"/>
      <c r="M295" s="505"/>
      <c r="N295" s="506"/>
      <c r="O295" s="406"/>
      <c r="P295" s="344"/>
      <c r="Q295" s="507"/>
      <c r="R295" s="346">
        <v>1</v>
      </c>
      <c r="S295" s="1071" t="s">
        <v>156</v>
      </c>
      <c r="T295" s="347">
        <v>22</v>
      </c>
      <c r="U295" s="408"/>
      <c r="V295" s="306"/>
    </row>
    <row r="296" spans="1:22" s="175" customFormat="1" hidden="1">
      <c r="A296" s="1110"/>
      <c r="B296" s="342"/>
      <c r="C296" s="343" t="s">
        <v>858</v>
      </c>
      <c r="D296" s="2533">
        <f t="shared" si="18"/>
        <v>45474</v>
      </c>
      <c r="E296" s="2534"/>
      <c r="F296" s="2535"/>
      <c r="G296" s="2533">
        <f t="shared" si="19"/>
        <v>45504</v>
      </c>
      <c r="H296" s="2534"/>
      <c r="I296" s="2535"/>
      <c r="J296" s="340">
        <f t="shared" si="20"/>
        <v>31</v>
      </c>
      <c r="K296" s="504"/>
      <c r="L296" s="344"/>
      <c r="M296" s="505"/>
      <c r="N296" s="506"/>
      <c r="O296" s="406"/>
      <c r="P296" s="344"/>
      <c r="Q296" s="507"/>
      <c r="R296" s="346">
        <v>1</v>
      </c>
      <c r="S296" s="1071" t="s">
        <v>156</v>
      </c>
      <c r="T296" s="347">
        <v>22</v>
      </c>
      <c r="U296" s="408"/>
      <c r="V296" s="306"/>
    </row>
    <row r="297" spans="1:22" s="175" customFormat="1" hidden="1">
      <c r="A297" s="1110"/>
      <c r="B297" s="342"/>
      <c r="C297" s="343" t="s">
        <v>956</v>
      </c>
      <c r="D297" s="2533">
        <f t="shared" si="18"/>
        <v>45505</v>
      </c>
      <c r="E297" s="2534"/>
      <c r="F297" s="2535"/>
      <c r="G297" s="2533">
        <f t="shared" si="19"/>
        <v>45534</v>
      </c>
      <c r="H297" s="2534"/>
      <c r="I297" s="2535"/>
      <c r="J297" s="340">
        <f t="shared" si="20"/>
        <v>30</v>
      </c>
      <c r="K297" s="504"/>
      <c r="L297" s="344"/>
      <c r="M297" s="505"/>
      <c r="N297" s="506"/>
      <c r="O297" s="406"/>
      <c r="P297" s="344"/>
      <c r="Q297" s="507"/>
      <c r="R297" s="346">
        <v>1</v>
      </c>
      <c r="S297" s="1071" t="s">
        <v>156</v>
      </c>
      <c r="T297" s="347">
        <v>23</v>
      </c>
      <c r="U297" s="408"/>
      <c r="V297" s="306"/>
    </row>
    <row r="298" spans="1:22" s="175" customFormat="1" hidden="1">
      <c r="A298" s="1110"/>
      <c r="B298" s="342"/>
      <c r="C298" s="343" t="s">
        <v>957</v>
      </c>
      <c r="D298" s="2533">
        <f t="shared" si="18"/>
        <v>45536</v>
      </c>
      <c r="E298" s="2534"/>
      <c r="F298" s="2535"/>
      <c r="G298" s="2533">
        <f t="shared" si="19"/>
        <v>45554</v>
      </c>
      <c r="H298" s="2534"/>
      <c r="I298" s="2535"/>
      <c r="J298" s="340">
        <f t="shared" si="20"/>
        <v>19</v>
      </c>
      <c r="K298" s="504"/>
      <c r="L298" s="344"/>
      <c r="M298" s="505"/>
      <c r="N298" s="506"/>
      <c r="O298" s="406"/>
      <c r="P298" s="344"/>
      <c r="Q298" s="507"/>
      <c r="R298" s="346">
        <v>0.6</v>
      </c>
      <c r="S298" s="1071" t="s">
        <v>156</v>
      </c>
      <c r="T298" s="347">
        <v>24</v>
      </c>
      <c r="U298" s="408"/>
      <c r="V298" s="306"/>
    </row>
    <row r="299" spans="1:22" s="175" customFormat="1" ht="18" hidden="1" customHeight="1">
      <c r="A299" s="1110"/>
      <c r="B299" s="342"/>
      <c r="C299" s="343" t="s">
        <v>957</v>
      </c>
      <c r="D299" s="2533">
        <f t="shared" si="18"/>
        <v>45554</v>
      </c>
      <c r="E299" s="2534"/>
      <c r="F299" s="2535"/>
      <c r="G299" s="2533" t="str">
        <f t="shared" si="19"/>
        <v>31/09/2024</v>
      </c>
      <c r="H299" s="2534"/>
      <c r="I299" s="2535"/>
      <c r="J299" s="340">
        <f t="shared" si="20"/>
        <v>12</v>
      </c>
      <c r="K299" s="504"/>
      <c r="L299" s="344"/>
      <c r="M299" s="505"/>
      <c r="N299" s="506"/>
      <c r="O299" s="406"/>
      <c r="P299" s="344"/>
      <c r="Q299" s="507"/>
      <c r="R299" s="346">
        <v>0.4</v>
      </c>
      <c r="S299" s="1071" t="s">
        <v>156</v>
      </c>
      <c r="T299" s="347">
        <v>24</v>
      </c>
      <c r="U299" s="408"/>
      <c r="V299" s="306"/>
    </row>
    <row r="300" spans="1:22" s="175" customFormat="1" ht="18" hidden="1" customHeight="1">
      <c r="A300" s="1110"/>
      <c r="B300" s="342"/>
      <c r="C300" s="343" t="s">
        <v>1013</v>
      </c>
      <c r="D300" s="2533">
        <f t="shared" si="18"/>
        <v>45566</v>
      </c>
      <c r="E300" s="2534"/>
      <c r="F300" s="2535"/>
      <c r="G300" s="2533">
        <f t="shared" si="19"/>
        <v>45596</v>
      </c>
      <c r="H300" s="2534"/>
      <c r="I300" s="2535"/>
      <c r="J300" s="340">
        <f t="shared" si="20"/>
        <v>31</v>
      </c>
      <c r="K300" s="504"/>
      <c r="L300" s="344"/>
      <c r="M300" s="505"/>
      <c r="N300" s="506"/>
      <c r="O300" s="406"/>
      <c r="P300" s="344"/>
      <c r="Q300" s="507"/>
      <c r="R300" s="346">
        <v>1</v>
      </c>
      <c r="S300" s="1071" t="s">
        <v>156</v>
      </c>
      <c r="T300" s="347">
        <v>24</v>
      </c>
      <c r="U300" s="408"/>
      <c r="V300" s="306"/>
    </row>
    <row r="301" spans="1:22" s="175" customFormat="1" hidden="1">
      <c r="A301" s="1110"/>
      <c r="B301" s="342"/>
      <c r="C301" s="343" t="s">
        <v>1014</v>
      </c>
      <c r="D301" s="2533">
        <f t="shared" si="18"/>
        <v>45597</v>
      </c>
      <c r="E301" s="2534"/>
      <c r="F301" s="2535"/>
      <c r="G301" s="2533">
        <f t="shared" si="19"/>
        <v>45626</v>
      </c>
      <c r="H301" s="2534"/>
      <c r="I301" s="2535"/>
      <c r="J301" s="340">
        <f>J261</f>
        <v>31</v>
      </c>
      <c r="K301" s="504"/>
      <c r="L301" s="344"/>
      <c r="M301" s="505"/>
      <c r="N301" s="506"/>
      <c r="O301" s="406"/>
      <c r="P301" s="344"/>
      <c r="Q301" s="507"/>
      <c r="R301" s="346">
        <v>1</v>
      </c>
      <c r="S301" s="1071" t="s">
        <v>156</v>
      </c>
      <c r="T301" s="347">
        <v>25</v>
      </c>
      <c r="U301" s="408"/>
      <c r="V301" s="306"/>
    </row>
    <row r="302" spans="1:22" s="175" customFormat="1" hidden="1">
      <c r="A302" s="1110"/>
      <c r="B302" s="342"/>
      <c r="C302" s="343" t="s">
        <v>1015</v>
      </c>
      <c r="D302" s="2533">
        <f t="shared" si="18"/>
        <v>45627</v>
      </c>
      <c r="E302" s="2534"/>
      <c r="F302" s="2535"/>
      <c r="G302" s="2533">
        <f t="shared" si="19"/>
        <v>45657</v>
      </c>
      <c r="H302" s="2534"/>
      <c r="I302" s="2535"/>
      <c r="J302" s="340">
        <f>J262</f>
        <v>30</v>
      </c>
      <c r="K302" s="504"/>
      <c r="L302" s="344"/>
      <c r="M302" s="505"/>
      <c r="N302" s="506"/>
      <c r="O302" s="406"/>
      <c r="P302" s="344"/>
      <c r="Q302" s="507"/>
      <c r="R302" s="346">
        <v>1</v>
      </c>
      <c r="S302" s="1071" t="s">
        <v>156</v>
      </c>
      <c r="T302" s="347">
        <v>25</v>
      </c>
      <c r="U302" s="408"/>
      <c r="V302" s="306"/>
    </row>
    <row r="303" spans="1:22" s="175" customFormat="1" hidden="1">
      <c r="A303" s="1110"/>
      <c r="B303" s="342"/>
      <c r="C303" s="343" t="s">
        <v>1016</v>
      </c>
      <c r="D303" s="2533">
        <f t="shared" si="18"/>
        <v>45658</v>
      </c>
      <c r="E303" s="2534"/>
      <c r="F303" s="2535"/>
      <c r="G303" s="2533">
        <f t="shared" si="19"/>
        <v>45688</v>
      </c>
      <c r="H303" s="2534"/>
      <c r="I303" s="2535"/>
      <c r="J303" s="340">
        <f>J263</f>
        <v>31</v>
      </c>
      <c r="K303" s="504"/>
      <c r="L303" s="344"/>
      <c r="M303" s="505"/>
      <c r="N303" s="506"/>
      <c r="O303" s="406"/>
      <c r="P303" s="344"/>
      <c r="Q303" s="507"/>
      <c r="R303" s="346">
        <v>1</v>
      </c>
      <c r="S303" s="1071" t="s">
        <v>156</v>
      </c>
      <c r="T303" s="347">
        <v>25</v>
      </c>
      <c r="U303" s="408"/>
      <c r="V303" s="306"/>
    </row>
    <row r="304" spans="1:22" s="175" customFormat="1" hidden="1">
      <c r="A304" s="1110"/>
      <c r="B304" s="342"/>
      <c r="C304" s="343" t="s">
        <v>1128</v>
      </c>
      <c r="D304" s="2533">
        <f t="shared" si="18"/>
        <v>45689</v>
      </c>
      <c r="E304" s="2534"/>
      <c r="F304" s="2535"/>
      <c r="G304" s="2533">
        <f t="shared" si="19"/>
        <v>45716</v>
      </c>
      <c r="H304" s="2534"/>
      <c r="I304" s="2535"/>
      <c r="J304" s="340">
        <f>J265</f>
        <v>28</v>
      </c>
      <c r="K304" s="504"/>
      <c r="L304" s="344"/>
      <c r="M304" s="505"/>
      <c r="N304" s="506"/>
      <c r="O304" s="406"/>
      <c r="P304" s="344"/>
      <c r="Q304" s="507"/>
      <c r="R304" s="346">
        <v>1</v>
      </c>
      <c r="S304" s="1071" t="s">
        <v>156</v>
      </c>
      <c r="T304" s="347">
        <v>26</v>
      </c>
      <c r="U304" s="408"/>
      <c r="V304" s="306"/>
    </row>
    <row r="305" spans="1:27" s="175" customFormat="1" hidden="1">
      <c r="A305" s="1110"/>
      <c r="B305" s="348"/>
      <c r="C305" s="1518" t="s">
        <v>1129</v>
      </c>
      <c r="D305" s="2672">
        <f t="shared" si="18"/>
        <v>45717</v>
      </c>
      <c r="E305" s="2673"/>
      <c r="F305" s="2674"/>
      <c r="G305" s="2672">
        <f t="shared" si="19"/>
        <v>45747</v>
      </c>
      <c r="H305" s="2673"/>
      <c r="I305" s="2674"/>
      <c r="J305" s="357">
        <f>J266</f>
        <v>31</v>
      </c>
      <c r="K305" s="349"/>
      <c r="L305" s="350"/>
      <c r="M305" s="351"/>
      <c r="N305" s="352"/>
      <c r="O305" s="353"/>
      <c r="P305" s="350"/>
      <c r="Q305" s="354"/>
      <c r="R305" s="356">
        <v>0.6</v>
      </c>
      <c r="S305" s="1070" t="s">
        <v>156</v>
      </c>
      <c r="T305" s="355">
        <v>27</v>
      </c>
      <c r="U305" s="812"/>
      <c r="V305" s="306"/>
    </row>
    <row r="306" spans="1:27" s="40" customFormat="1" ht="15.75" hidden="1" customHeight="1">
      <c r="A306" s="1106"/>
      <c r="B306" s="645"/>
      <c r="C306" s="1614"/>
      <c r="D306" s="2548" t="s">
        <v>257</v>
      </c>
      <c r="E306" s="2549"/>
      <c r="F306" s="2549"/>
      <c r="G306" s="2549"/>
      <c r="H306" s="2549"/>
      <c r="I306" s="2550"/>
      <c r="J306" s="2490">
        <f>VLOOKUP(A308,'11 - FINANCEIRA'!$A$16:$AE$156,30,FALSE)</f>
        <v>30</v>
      </c>
      <c r="K306" s="2491"/>
      <c r="L306" s="590" t="str">
        <f>VLOOKUP(A308,'11 - FINANCEIRA'!_xlnm.Print_Area,4,FALSE)</f>
        <v>mês</v>
      </c>
      <c r="M306" s="2561" t="s">
        <v>258</v>
      </c>
      <c r="N306" s="2562"/>
      <c r="O306" s="2562"/>
      <c r="P306" s="2562"/>
      <c r="Q306" s="2563"/>
      <c r="R306" s="375">
        <f>SUM(R273:R305)</f>
        <v>30</v>
      </c>
      <c r="S306" s="591" t="str">
        <f>L306</f>
        <v>mês</v>
      </c>
      <c r="T306" s="390"/>
      <c r="U306" s="391"/>
      <c r="V306" s="174">
        <f>V307</f>
        <v>0</v>
      </c>
    </row>
    <row r="307" spans="1:27" s="40" customFormat="1" ht="15.75" hidden="1" customHeight="1">
      <c r="A307" s="1106"/>
      <c r="B307" s="371"/>
      <c r="C307" s="374"/>
      <c r="D307" s="2505" t="s">
        <v>259</v>
      </c>
      <c r="E307" s="2506"/>
      <c r="F307" s="2506"/>
      <c r="G307" s="2506"/>
      <c r="H307" s="2506"/>
      <c r="I307" s="2507"/>
      <c r="J307" s="2511">
        <f>R306/J306</f>
        <v>1</v>
      </c>
      <c r="K307" s="2512"/>
      <c r="L307" s="2559"/>
      <c r="M307" s="2561" t="s">
        <v>260</v>
      </c>
      <c r="N307" s="2562"/>
      <c r="O307" s="2562"/>
      <c r="P307" s="2562"/>
      <c r="Q307" s="2563"/>
      <c r="R307" s="375">
        <f>VLOOKUP(A308,'11 - FINANCEIRA'!_xlnm.Print_Area,8,FALSE)</f>
        <v>30</v>
      </c>
      <c r="S307" s="376" t="str">
        <f>L306</f>
        <v>mês</v>
      </c>
      <c r="T307" s="372"/>
      <c r="U307" s="373"/>
      <c r="V307" s="174">
        <f>V308</f>
        <v>0</v>
      </c>
    </row>
    <row r="308" spans="1:27" s="40" customFormat="1" ht="15.75" hidden="1" customHeight="1">
      <c r="A308" s="1106" t="s">
        <v>24</v>
      </c>
      <c r="B308" s="371"/>
      <c r="C308" s="377"/>
      <c r="D308" s="2551"/>
      <c r="E308" s="2552"/>
      <c r="F308" s="2552"/>
      <c r="G308" s="2552"/>
      <c r="H308" s="2552"/>
      <c r="I308" s="2553"/>
      <c r="J308" s="2530"/>
      <c r="K308" s="2531"/>
      <c r="L308" s="2560"/>
      <c r="M308" s="2561" t="s">
        <v>261</v>
      </c>
      <c r="N308" s="2562"/>
      <c r="O308" s="2562"/>
      <c r="P308" s="2562"/>
      <c r="Q308" s="2563"/>
      <c r="R308" s="378">
        <f>R306-R307</f>
        <v>0</v>
      </c>
      <c r="S308" s="379" t="str">
        <f>L306</f>
        <v>mês</v>
      </c>
      <c r="T308" s="372"/>
      <c r="U308" s="373"/>
      <c r="V308" s="174">
        <f>R308</f>
        <v>0</v>
      </c>
    </row>
    <row r="309" spans="1:27" s="40" customFormat="1" hidden="1">
      <c r="A309" s="1106"/>
      <c r="B309" s="380"/>
      <c r="C309" s="381"/>
      <c r="D309" s="382"/>
      <c r="E309" s="383"/>
      <c r="F309" s="382"/>
      <c r="G309" s="382"/>
      <c r="H309" s="382"/>
      <c r="I309" s="382"/>
      <c r="J309" s="384"/>
      <c r="K309" s="385"/>
      <c r="L309" s="386"/>
      <c r="M309" s="387"/>
      <c r="N309" s="387"/>
      <c r="O309" s="387"/>
      <c r="P309" s="387"/>
      <c r="Q309" s="387"/>
      <c r="R309" s="388"/>
      <c r="S309" s="389"/>
      <c r="T309" s="390"/>
      <c r="U309" s="391"/>
      <c r="V309" s="265">
        <f>SUM(V271:V308)</f>
        <v>0</v>
      </c>
    </row>
    <row r="310" spans="1:27">
      <c r="B310" s="157" t="str">
        <f>LEFT(A325,3)</f>
        <v>2.0</v>
      </c>
      <c r="C310" s="158" t="str">
        <f>VLOOKUP(LEFT(A325,3),'11 - FINANCEIRA'!_xlnm.Print_Area,2,FALSE)</f>
        <v>Galeria Aribiri</v>
      </c>
      <c r="D310" s="158"/>
      <c r="E310" s="159"/>
      <c r="F310" s="158"/>
      <c r="G310" s="2739"/>
      <c r="H310" s="2739"/>
      <c r="I310" s="2739"/>
      <c r="J310" s="2739"/>
      <c r="K310" s="2739"/>
      <c r="L310" s="2739"/>
      <c r="M310" s="160"/>
      <c r="N310" s="161"/>
      <c r="O310" s="161"/>
      <c r="P310" s="161"/>
      <c r="Q310" s="161"/>
      <c r="R310" s="161"/>
      <c r="S310" s="161"/>
      <c r="T310" s="161"/>
      <c r="U310" s="412"/>
      <c r="V310" s="413" t="e">
        <f>SUM(V311:V480)</f>
        <v>#REF!</v>
      </c>
    </row>
    <row r="311" spans="1:27" s="326" customFormat="1">
      <c r="A311" s="1770"/>
      <c r="B311" s="166" t="str">
        <f>LEFT(A326,5)</f>
        <v>2.1</v>
      </c>
      <c r="C311" s="167" t="str">
        <f>VLOOKUP(LEFT(A326,5),'11 - FINANCEIRA'!_xlnm.Print_Area,2,FALSE)</f>
        <v>Terraplanagem e Pavimentação</v>
      </c>
      <c r="D311" s="167"/>
      <c r="E311" s="168"/>
      <c r="F311" s="167"/>
      <c r="G311" s="2696"/>
      <c r="H311" s="2700"/>
      <c r="I311" s="2700"/>
      <c r="J311" s="2700"/>
      <c r="K311" s="2700"/>
      <c r="L311" s="2700"/>
      <c r="M311" s="171"/>
      <c r="N311" s="172"/>
      <c r="O311" s="2700"/>
      <c r="P311" s="2700"/>
      <c r="Q311" s="2700"/>
      <c r="R311" s="2701"/>
      <c r="S311" s="414"/>
      <c r="T311" s="415"/>
      <c r="U311" s="416"/>
      <c r="V311" s="413" t="e">
        <f>SUM(V312:V424)</f>
        <v>#REF!</v>
      </c>
    </row>
    <row r="312" spans="1:27" s="176" customFormat="1">
      <c r="A312" s="1106"/>
      <c r="B312" s="2624">
        <f>VLOOKUP(A327,'11 - FINANCEIRA'!_xlnm.Print_Area,2,FALSE)</f>
        <v>4805757</v>
      </c>
      <c r="C312" s="2643" t="str">
        <f>VLOOKUP(A327,'11 - FINANCEIRA'!_xlnm.Print_Area,3,FALSE)</f>
        <v>Escavação mecânica de vala em material de 1ª categoria</v>
      </c>
      <c r="D312" s="2626" t="s">
        <v>242</v>
      </c>
      <c r="E312" s="2627"/>
      <c r="F312" s="2627"/>
      <c r="G312" s="2627"/>
      <c r="H312" s="2627"/>
      <c r="I312" s="2628"/>
      <c r="J312" s="2532" t="s">
        <v>139</v>
      </c>
      <c r="K312" s="2532" t="s">
        <v>244</v>
      </c>
      <c r="L312" s="2532" t="s">
        <v>245</v>
      </c>
      <c r="M312" s="2532" t="s">
        <v>246</v>
      </c>
      <c r="N312" s="2532" t="s">
        <v>298</v>
      </c>
      <c r="O312" s="2532" t="s">
        <v>1104</v>
      </c>
      <c r="P312" s="2100" t="s">
        <v>249</v>
      </c>
      <c r="Q312" s="2532" t="s">
        <v>250</v>
      </c>
      <c r="R312" s="2623" t="s">
        <v>139</v>
      </c>
      <c r="S312" s="2532" t="s">
        <v>251</v>
      </c>
      <c r="T312" s="2532" t="s">
        <v>252</v>
      </c>
      <c r="U312" s="2622" t="s">
        <v>253</v>
      </c>
      <c r="V312" s="418">
        <f>V313</f>
        <v>0</v>
      </c>
      <c r="W312" s="175"/>
      <c r="X312" s="175"/>
      <c r="Y312" s="175"/>
      <c r="Z312" s="175"/>
      <c r="AA312" s="175"/>
    </row>
    <row r="313" spans="1:27" s="176" customFormat="1">
      <c r="A313" s="1106"/>
      <c r="B313" s="2464" t="e">
        <f>LEFT(#REF!,5)</f>
        <v>#REF!</v>
      </c>
      <c r="C313" s="2466" t="e">
        <f>VLOOKUP(LEFT(#REF!,5),'11 - FINANCEIRA'!_xlnm.Print_Area,2,FALSE)</f>
        <v>#REF!</v>
      </c>
      <c r="D313" s="2475" t="s">
        <v>254</v>
      </c>
      <c r="E313" s="2476"/>
      <c r="F313" s="2477"/>
      <c r="G313" s="2469" t="s">
        <v>255</v>
      </c>
      <c r="H313" s="2470"/>
      <c r="I313" s="2471"/>
      <c r="J313" s="2468"/>
      <c r="K313" s="2468"/>
      <c r="L313" s="2468"/>
      <c r="M313" s="2468"/>
      <c r="N313" s="2468"/>
      <c r="O313" s="2468"/>
      <c r="P313" s="177" t="s">
        <v>256</v>
      </c>
      <c r="Q313" s="2468"/>
      <c r="R313" s="2580"/>
      <c r="S313" s="2468"/>
      <c r="T313" s="2468"/>
      <c r="U313" s="2585"/>
      <c r="V313" s="418">
        <f>V314</f>
        <v>0</v>
      </c>
      <c r="W313" s="175"/>
      <c r="X313" s="175"/>
      <c r="Y313" s="175"/>
      <c r="Z313" s="175"/>
      <c r="AA313" s="175"/>
    </row>
    <row r="314" spans="1:27" s="176" customFormat="1" ht="17.45" customHeight="1">
      <c r="A314" s="1110"/>
      <c r="B314" s="336"/>
      <c r="C314" s="266" t="s">
        <v>181</v>
      </c>
      <c r="D314" s="419"/>
      <c r="E314" s="420"/>
      <c r="F314" s="421"/>
      <c r="G314" s="422"/>
      <c r="H314" s="423"/>
      <c r="I314" s="424"/>
      <c r="J314" s="425"/>
      <c r="K314" s="426"/>
      <c r="L314" s="425"/>
      <c r="M314" s="425"/>
      <c r="N314" s="425"/>
      <c r="O314" s="425"/>
      <c r="P314" s="813"/>
      <c r="Q314" s="425"/>
      <c r="R314" s="191"/>
      <c r="S314" s="425"/>
      <c r="T314" s="347">
        <v>12</v>
      </c>
      <c r="U314" s="2183" t="s">
        <v>522</v>
      </c>
      <c r="V314" s="429"/>
      <c r="W314" s="175"/>
      <c r="X314" s="175"/>
      <c r="Y314" s="175"/>
      <c r="Z314" s="175"/>
      <c r="AA314" s="175"/>
    </row>
    <row r="315" spans="1:27" s="176" customFormat="1" ht="17.45" customHeight="1">
      <c r="A315" s="1110"/>
      <c r="B315" s="296"/>
      <c r="C315" s="2184" t="s">
        <v>888</v>
      </c>
      <c r="D315" s="1234"/>
      <c r="E315" s="298"/>
      <c r="F315" s="1235"/>
      <c r="G315" s="432"/>
      <c r="H315" s="301"/>
      <c r="I315" s="433"/>
      <c r="J315" s="1604"/>
      <c r="K315" s="434"/>
      <c r="L315" s="1604"/>
      <c r="M315" s="1136"/>
      <c r="N315" s="298"/>
      <c r="O315" s="1125"/>
      <c r="P315" s="1697"/>
      <c r="Q315" s="1136"/>
      <c r="R315" s="1121">
        <f>(R1690)*-1</f>
        <v>502.23999999999802</v>
      </c>
      <c r="S315" s="463" t="s">
        <v>164</v>
      </c>
      <c r="T315" s="1698">
        <v>22</v>
      </c>
      <c r="U315" s="435" t="s">
        <v>889</v>
      </c>
      <c r="V315" s="429"/>
      <c r="W315" s="175"/>
      <c r="X315" s="175"/>
      <c r="Y315" s="175"/>
      <c r="Z315" s="175"/>
      <c r="AA315" s="175"/>
    </row>
    <row r="316" spans="1:27" s="175" customFormat="1" ht="17.45" customHeight="1">
      <c r="A316" s="1110"/>
      <c r="B316" s="296"/>
      <c r="C316" s="339" t="s">
        <v>181</v>
      </c>
      <c r="D316" s="623">
        <v>31</v>
      </c>
      <c r="E316" s="861" t="s">
        <v>299</v>
      </c>
      <c r="F316" s="625">
        <v>12</v>
      </c>
      <c r="G316" s="623">
        <v>35</v>
      </c>
      <c r="H316" s="861" t="s">
        <v>299</v>
      </c>
      <c r="I316" s="625">
        <v>14</v>
      </c>
      <c r="J316" s="586"/>
      <c r="K316" s="340">
        <f t="shared" ref="K316:K323" si="21">(G316-D316)*20+I316-F316</f>
        <v>82</v>
      </c>
      <c r="L316" s="434">
        <v>3.5</v>
      </c>
      <c r="M316" s="463"/>
      <c r="N316" s="464"/>
      <c r="O316" s="477">
        <v>1179.373</v>
      </c>
      <c r="P316" s="461">
        <f>L316*K316</f>
        <v>287</v>
      </c>
      <c r="Q316" s="340"/>
      <c r="R316" s="462">
        <f>O316</f>
        <v>1179.373</v>
      </c>
      <c r="S316" s="463" t="s">
        <v>164</v>
      </c>
      <c r="T316" s="347">
        <v>26</v>
      </c>
      <c r="U316" s="492" t="s">
        <v>1071</v>
      </c>
      <c r="V316" s="306"/>
    </row>
    <row r="317" spans="1:27" s="175" customFormat="1" ht="17.45" customHeight="1">
      <c r="A317" s="1110"/>
      <c r="B317" s="296"/>
      <c r="C317" s="339" t="s">
        <v>181</v>
      </c>
      <c r="D317" s="623">
        <v>39</v>
      </c>
      <c r="E317" s="861" t="s">
        <v>299</v>
      </c>
      <c r="F317" s="625">
        <v>16</v>
      </c>
      <c r="G317" s="623">
        <v>41</v>
      </c>
      <c r="H317" s="861" t="s">
        <v>299</v>
      </c>
      <c r="I317" s="625">
        <v>16</v>
      </c>
      <c r="J317" s="586"/>
      <c r="K317" s="340">
        <f t="shared" si="21"/>
        <v>40</v>
      </c>
      <c r="L317" s="434">
        <v>3.5</v>
      </c>
      <c r="M317" s="463"/>
      <c r="N317" s="464"/>
      <c r="O317" s="477">
        <v>517.97699999999998</v>
      </c>
      <c r="P317" s="461">
        <f>L317*K317</f>
        <v>140</v>
      </c>
      <c r="Q317" s="340"/>
      <c r="R317" s="462">
        <f>O317</f>
        <v>517.97699999999998</v>
      </c>
      <c r="S317" s="463" t="s">
        <v>164</v>
      </c>
      <c r="T317" s="347">
        <v>26</v>
      </c>
      <c r="U317" s="492" t="s">
        <v>1071</v>
      </c>
      <c r="V317" s="306"/>
    </row>
    <row r="318" spans="1:27" s="175" customFormat="1" ht="17.45" customHeight="1">
      <c r="A318" s="1110"/>
      <c r="B318" s="296"/>
      <c r="C318" s="339" t="s">
        <v>181</v>
      </c>
      <c r="D318" s="623">
        <v>41</v>
      </c>
      <c r="E318" s="861" t="s">
        <v>299</v>
      </c>
      <c r="F318" s="625">
        <v>16</v>
      </c>
      <c r="G318" s="623">
        <v>42</v>
      </c>
      <c r="H318" s="861" t="s">
        <v>299</v>
      </c>
      <c r="I318" s="625">
        <v>12</v>
      </c>
      <c r="J318" s="586"/>
      <c r="K318" s="340">
        <f t="shared" si="21"/>
        <v>16</v>
      </c>
      <c r="L318" s="434">
        <v>3.5</v>
      </c>
      <c r="M318" s="463">
        <v>3.1</v>
      </c>
      <c r="N318" s="464"/>
      <c r="O318" s="477">
        <v>240.136</v>
      </c>
      <c r="P318" s="461"/>
      <c r="Q318" s="340"/>
      <c r="R318" s="462">
        <f t="shared" ref="R318:R323" si="22">K318*L318*M318</f>
        <v>173.6</v>
      </c>
      <c r="S318" s="463" t="s">
        <v>164</v>
      </c>
      <c r="T318" s="347">
        <v>27</v>
      </c>
      <c r="U318" s="492" t="s">
        <v>1071</v>
      </c>
      <c r="V318" s="306"/>
    </row>
    <row r="319" spans="1:27" s="175" customFormat="1" ht="17.45" customHeight="1">
      <c r="A319" s="1110"/>
      <c r="B319" s="296"/>
      <c r="C319" s="339" t="s">
        <v>1105</v>
      </c>
      <c r="D319" s="623">
        <v>31</v>
      </c>
      <c r="E319" s="861" t="s">
        <v>299</v>
      </c>
      <c r="F319" s="625">
        <v>12</v>
      </c>
      <c r="G319" s="623">
        <v>37</v>
      </c>
      <c r="H319" s="861" t="s">
        <v>299</v>
      </c>
      <c r="I319" s="625">
        <v>12</v>
      </c>
      <c r="J319" s="586"/>
      <c r="K319" s="340">
        <f t="shared" si="21"/>
        <v>120</v>
      </c>
      <c r="L319" s="434">
        <v>4.5</v>
      </c>
      <c r="M319" s="463">
        <v>0.5</v>
      </c>
      <c r="N319" s="464"/>
      <c r="O319" s="477">
        <f>R319</f>
        <v>270</v>
      </c>
      <c r="P319" s="461"/>
      <c r="Q319" s="340"/>
      <c r="R319" s="462">
        <f t="shared" si="22"/>
        <v>270</v>
      </c>
      <c r="S319" s="463" t="s">
        <v>164</v>
      </c>
      <c r="T319" s="347">
        <v>27</v>
      </c>
      <c r="U319" s="492" t="s">
        <v>1071</v>
      </c>
      <c r="V319" s="306"/>
    </row>
    <row r="320" spans="1:27" s="175" customFormat="1" ht="17.45" customHeight="1">
      <c r="A320" s="1110"/>
      <c r="B320" s="296"/>
      <c r="C320" s="339" t="s">
        <v>1116</v>
      </c>
      <c r="D320" s="623">
        <v>31</v>
      </c>
      <c r="E320" s="861" t="s">
        <v>299</v>
      </c>
      <c r="F320" s="625">
        <v>12</v>
      </c>
      <c r="G320" s="623">
        <v>42</v>
      </c>
      <c r="H320" s="861" t="s">
        <v>299</v>
      </c>
      <c r="I320" s="625">
        <v>2</v>
      </c>
      <c r="J320" s="586"/>
      <c r="K320" s="340">
        <f t="shared" si="21"/>
        <v>210</v>
      </c>
      <c r="L320" s="434">
        <v>0.6</v>
      </c>
      <c r="M320" s="463">
        <v>1</v>
      </c>
      <c r="N320" s="464"/>
      <c r="O320" s="477">
        <f>R320</f>
        <v>126</v>
      </c>
      <c r="P320" s="461"/>
      <c r="Q320" s="340"/>
      <c r="R320" s="462">
        <f t="shared" si="22"/>
        <v>126</v>
      </c>
      <c r="S320" s="463" t="s">
        <v>164</v>
      </c>
      <c r="T320" s="347">
        <v>27</v>
      </c>
      <c r="U320" s="492"/>
      <c r="V320" s="306"/>
    </row>
    <row r="321" spans="1:27" s="175" customFormat="1" ht="17.45" customHeight="1">
      <c r="A321" s="1110"/>
      <c r="B321" s="767"/>
      <c r="C321" s="510" t="s">
        <v>181</v>
      </c>
      <c r="D321" s="770">
        <v>42</v>
      </c>
      <c r="E321" s="1163" t="s">
        <v>299</v>
      </c>
      <c r="F321" s="771">
        <v>12</v>
      </c>
      <c r="G321" s="770">
        <v>43</v>
      </c>
      <c r="H321" s="1163" t="s">
        <v>299</v>
      </c>
      <c r="I321" s="771">
        <v>14</v>
      </c>
      <c r="J321" s="1207"/>
      <c r="K321" s="438">
        <f t="shared" si="21"/>
        <v>22</v>
      </c>
      <c r="L321" s="439">
        <v>4.5</v>
      </c>
      <c r="M321" s="865">
        <v>3.1</v>
      </c>
      <c r="N321" s="864"/>
      <c r="O321" s="1229">
        <f>R321</f>
        <v>306.90000000000003</v>
      </c>
      <c r="P321" s="453"/>
      <c r="Q321" s="438"/>
      <c r="R321" s="454">
        <f>K321*L321*M321</f>
        <v>306.90000000000003</v>
      </c>
      <c r="S321" s="865" t="s">
        <v>164</v>
      </c>
      <c r="T321" s="441">
        <v>28</v>
      </c>
      <c r="U321" s="595"/>
      <c r="V321" s="306"/>
    </row>
    <row r="322" spans="1:27" s="688" customFormat="1" ht="17.45" customHeight="1">
      <c r="A322" s="1771"/>
      <c r="B322" s="767"/>
      <c r="C322" s="510" t="s">
        <v>1105</v>
      </c>
      <c r="D322" s="770">
        <v>37</v>
      </c>
      <c r="E322" s="1163" t="s">
        <v>299</v>
      </c>
      <c r="F322" s="771">
        <v>12</v>
      </c>
      <c r="G322" s="770">
        <v>43</v>
      </c>
      <c r="H322" s="1163" t="s">
        <v>299</v>
      </c>
      <c r="I322" s="771">
        <v>14</v>
      </c>
      <c r="J322" s="1207"/>
      <c r="K322" s="438">
        <f t="shared" si="21"/>
        <v>122</v>
      </c>
      <c r="L322" s="439">
        <v>4.5</v>
      </c>
      <c r="M322" s="865">
        <v>0.6</v>
      </c>
      <c r="N322" s="864"/>
      <c r="O322" s="1229">
        <f>R322</f>
        <v>329.4</v>
      </c>
      <c r="P322" s="453"/>
      <c r="Q322" s="438"/>
      <c r="R322" s="454">
        <f>K322*L322*M322</f>
        <v>329.4</v>
      </c>
      <c r="S322" s="865" t="s">
        <v>164</v>
      </c>
      <c r="T322" s="441">
        <v>28</v>
      </c>
      <c r="U322" s="595"/>
      <c r="V322" s="713"/>
    </row>
    <row r="323" spans="1:27" s="688" customFormat="1" ht="17.45" customHeight="1">
      <c r="A323" s="1771"/>
      <c r="B323" s="767"/>
      <c r="C323" s="510" t="s">
        <v>1116</v>
      </c>
      <c r="D323" s="770">
        <v>42</v>
      </c>
      <c r="E323" s="1163" t="s">
        <v>299</v>
      </c>
      <c r="F323" s="771">
        <v>12</v>
      </c>
      <c r="G323" s="770">
        <v>43</v>
      </c>
      <c r="H323" s="1163" t="s">
        <v>299</v>
      </c>
      <c r="I323" s="771">
        <v>14</v>
      </c>
      <c r="J323" s="1207"/>
      <c r="K323" s="438">
        <f t="shared" si="21"/>
        <v>22</v>
      </c>
      <c r="L323" s="439">
        <v>0.6</v>
      </c>
      <c r="M323" s="865">
        <v>1.3</v>
      </c>
      <c r="N323" s="864"/>
      <c r="O323" s="1229">
        <f>R323</f>
        <v>17.16</v>
      </c>
      <c r="P323" s="453"/>
      <c r="Q323" s="438"/>
      <c r="R323" s="454">
        <f t="shared" si="22"/>
        <v>17.16</v>
      </c>
      <c r="S323" s="865" t="s">
        <v>164</v>
      </c>
      <c r="T323" s="441">
        <v>28</v>
      </c>
      <c r="U323" s="595"/>
      <c r="V323" s="713"/>
    </row>
    <row r="324" spans="1:27" s="688" customFormat="1" ht="17.45" customHeight="1">
      <c r="A324" s="1771"/>
      <c r="B324" s="1515"/>
      <c r="C324" s="972" t="s">
        <v>1188</v>
      </c>
      <c r="D324" s="1052">
        <v>11</v>
      </c>
      <c r="E324" s="1055" t="s">
        <v>299</v>
      </c>
      <c r="F324" s="1057">
        <v>10</v>
      </c>
      <c r="G324" s="1052">
        <v>43</v>
      </c>
      <c r="H324" s="1055" t="s">
        <v>299</v>
      </c>
      <c r="I324" s="1057">
        <v>14</v>
      </c>
      <c r="J324" s="1117"/>
      <c r="K324" s="760">
        <f t="shared" ref="K324" si="23">(G324-D324)*20+I324-F324</f>
        <v>644</v>
      </c>
      <c r="L324" s="871">
        <v>0.6</v>
      </c>
      <c r="M324" s="899">
        <v>0.2</v>
      </c>
      <c r="N324" s="898"/>
      <c r="O324" s="1517">
        <f>K324*L324</f>
        <v>386.4</v>
      </c>
      <c r="P324" s="873"/>
      <c r="Q324" s="760">
        <v>2</v>
      </c>
      <c r="R324" s="962">
        <f>Q324*O324*M324</f>
        <v>154.56</v>
      </c>
      <c r="S324" s="899" t="s">
        <v>164</v>
      </c>
      <c r="T324" s="874">
        <v>28</v>
      </c>
      <c r="U324" s="1119"/>
      <c r="V324" s="713"/>
    </row>
    <row r="325" spans="1:27" s="40" customFormat="1">
      <c r="A325" s="1106" t="s">
        <v>25</v>
      </c>
      <c r="B325" s="239"/>
      <c r="C325" s="1603"/>
      <c r="D325" s="2527" t="s">
        <v>257</v>
      </c>
      <c r="E325" s="2528"/>
      <c r="F325" s="2528"/>
      <c r="G325" s="2528"/>
      <c r="H325" s="2528"/>
      <c r="I325" s="2529"/>
      <c r="J325" s="2490">
        <f>VLOOKUP(A327,'11 - FINANCEIRA'!_xlnm.Print_Area,30,FALSE)</f>
        <v>4262.4000000000005</v>
      </c>
      <c r="K325" s="2491"/>
      <c r="L325" s="309" t="str">
        <f>VLOOKUP(A327,'11 - FINANCEIRA'!_xlnm.Print_Area,4,FALSE)</f>
        <v>m³</v>
      </c>
      <c r="M325" s="2556" t="s">
        <v>258</v>
      </c>
      <c r="N325" s="2557"/>
      <c r="O325" s="2557"/>
      <c r="P325" s="2557"/>
      <c r="Q325" s="2558"/>
      <c r="R325" s="248">
        <f>SUM(R314:R324)</f>
        <v>3577.2099999999978</v>
      </c>
      <c r="S325" s="310" t="str">
        <f>L325</f>
        <v>m³</v>
      </c>
      <c r="T325" s="786"/>
      <c r="U325" s="322"/>
      <c r="V325" s="418">
        <f>V326</f>
        <v>808.02</v>
      </c>
    </row>
    <row r="326" spans="1:27" s="40" customFormat="1">
      <c r="A326" s="1106" t="s">
        <v>26</v>
      </c>
      <c r="B326" s="1123"/>
      <c r="C326" s="2182"/>
      <c r="D326" s="2521" t="s">
        <v>259</v>
      </c>
      <c r="E326" s="2522"/>
      <c r="F326" s="2522"/>
      <c r="G326" s="2522"/>
      <c r="H326" s="2522"/>
      <c r="I326" s="2523"/>
      <c r="J326" s="2515">
        <f>R325/J325</f>
        <v>0.83924784159159094</v>
      </c>
      <c r="K326" s="2516"/>
      <c r="L326" s="2554"/>
      <c r="M326" s="2556" t="s">
        <v>260</v>
      </c>
      <c r="N326" s="2557"/>
      <c r="O326" s="2557"/>
      <c r="P326" s="2557"/>
      <c r="Q326" s="2558"/>
      <c r="R326" s="248">
        <f>VLOOKUP(A327,'11 - FINANCEIRA'!_xlnm.Print_Area,8,FALSE)</f>
        <v>2769.1899999999978</v>
      </c>
      <c r="S326" s="249" t="str">
        <f>L325</f>
        <v>m³</v>
      </c>
      <c r="T326" s="787"/>
      <c r="U326" s="1124"/>
      <c r="V326" s="418">
        <f>V327</f>
        <v>808.02</v>
      </c>
    </row>
    <row r="327" spans="1:27" s="40" customFormat="1">
      <c r="A327" s="1106" t="s">
        <v>27</v>
      </c>
      <c r="B327" s="250"/>
      <c r="C327" s="598"/>
      <c r="D327" s="2539"/>
      <c r="E327" s="2540"/>
      <c r="F327" s="2540"/>
      <c r="G327" s="2540"/>
      <c r="H327" s="2540"/>
      <c r="I327" s="2541"/>
      <c r="J327" s="2517"/>
      <c r="K327" s="2518"/>
      <c r="L327" s="2555"/>
      <c r="M327" s="2556" t="s">
        <v>261</v>
      </c>
      <c r="N327" s="2557"/>
      <c r="O327" s="2557"/>
      <c r="P327" s="2557"/>
      <c r="Q327" s="2558"/>
      <c r="R327" s="248">
        <f>R325-R326</f>
        <v>808.02</v>
      </c>
      <c r="S327" s="249" t="str">
        <f>L325</f>
        <v>m³</v>
      </c>
      <c r="T327" s="788"/>
      <c r="U327" s="563"/>
      <c r="V327" s="418">
        <f>R327</f>
        <v>808.02</v>
      </c>
    </row>
    <row r="328" spans="1:27" s="40" customFormat="1" hidden="1">
      <c r="A328" s="1106"/>
      <c r="B328" s="253"/>
      <c r="C328" s="2062"/>
      <c r="D328" s="2063"/>
      <c r="E328" s="2064"/>
      <c r="F328" s="2063"/>
      <c r="G328" s="2063"/>
      <c r="H328" s="2063"/>
      <c r="I328" s="2063"/>
      <c r="J328" s="2065"/>
      <c r="K328" s="2066"/>
      <c r="L328" s="2067"/>
      <c r="M328" s="2068"/>
      <c r="N328" s="2068"/>
      <c r="O328" s="2068"/>
      <c r="P328" s="2068"/>
      <c r="Q328" s="2068"/>
      <c r="R328" s="2069"/>
      <c r="S328" s="2070"/>
      <c r="T328" s="562"/>
      <c r="U328" s="563"/>
      <c r="V328" s="418">
        <f>SUM(V312:V327)</f>
        <v>2424.06</v>
      </c>
    </row>
    <row r="329" spans="1:27" s="176" customFormat="1" hidden="1">
      <c r="A329" s="1104"/>
      <c r="B329" s="2640">
        <f>VLOOKUP(A337,'11 - FINANCEIRA'!_xlnm.Print_Area,2,FALSE)</f>
        <v>5503041</v>
      </c>
      <c r="C329" s="2702" t="str">
        <f>VLOOKUP(A337,'11 - FINANCEIRA'!_xlnm.Print_Area,3,FALSE)</f>
        <v>Compactação de aterros a 100% do Proctor intermediário</v>
      </c>
      <c r="D329" s="2626" t="s">
        <v>242</v>
      </c>
      <c r="E329" s="2627"/>
      <c r="F329" s="2627"/>
      <c r="G329" s="2627"/>
      <c r="H329" s="2627"/>
      <c r="I329" s="2628"/>
      <c r="J329" s="2632" t="s">
        <v>243</v>
      </c>
      <c r="K329" s="2632" t="s">
        <v>244</v>
      </c>
      <c r="L329" s="2632" t="s">
        <v>245</v>
      </c>
      <c r="M329" s="2632" t="s">
        <v>246</v>
      </c>
      <c r="N329" s="2632" t="s">
        <v>298</v>
      </c>
      <c r="O329" s="2632" t="s">
        <v>247</v>
      </c>
      <c r="P329" s="417" t="s">
        <v>249</v>
      </c>
      <c r="Q329" s="2632" t="s">
        <v>250</v>
      </c>
      <c r="R329" s="2631" t="s">
        <v>139</v>
      </c>
      <c r="S329" s="2632" t="s">
        <v>251</v>
      </c>
      <c r="T329" s="2632" t="s">
        <v>252</v>
      </c>
      <c r="U329" s="2633" t="s">
        <v>253</v>
      </c>
      <c r="V329" s="174">
        <f t="shared" ref="V329:V336" si="24">V330</f>
        <v>0</v>
      </c>
      <c r="W329" s="175"/>
      <c r="X329" s="175"/>
      <c r="Y329" s="175"/>
      <c r="Z329" s="175"/>
      <c r="AA329" s="175"/>
    </row>
    <row r="330" spans="1:27" s="176" customFormat="1" hidden="1">
      <c r="A330" s="1104"/>
      <c r="B330" s="2464" t="e">
        <f>LEFT(#REF!,5)</f>
        <v>#REF!</v>
      </c>
      <c r="C330" s="2504" t="e">
        <f>VLOOKUP(LEFT(#REF!,5),'11 - FINANCEIRA'!_xlnm.Print_Area,2,FALSE)</f>
        <v>#REF!</v>
      </c>
      <c r="D330" s="2475" t="s">
        <v>254</v>
      </c>
      <c r="E330" s="2476"/>
      <c r="F330" s="2477"/>
      <c r="G330" s="2469" t="s">
        <v>255</v>
      </c>
      <c r="H330" s="2470"/>
      <c r="I330" s="2471"/>
      <c r="J330" s="2468"/>
      <c r="K330" s="2468"/>
      <c r="L330" s="2468"/>
      <c r="M330" s="2468"/>
      <c r="N330" s="2468"/>
      <c r="O330" s="2468"/>
      <c r="P330" s="177" t="s">
        <v>256</v>
      </c>
      <c r="Q330" s="2468"/>
      <c r="R330" s="2580"/>
      <c r="S330" s="2468"/>
      <c r="T330" s="2468"/>
      <c r="U330" s="2585"/>
      <c r="V330" s="174">
        <f t="shared" si="24"/>
        <v>0</v>
      </c>
      <c r="W330" s="175"/>
      <c r="X330" s="175"/>
      <c r="Y330" s="175"/>
      <c r="Z330" s="175"/>
      <c r="AA330" s="175"/>
    </row>
    <row r="331" spans="1:27" s="176" customFormat="1" hidden="1">
      <c r="A331" s="1104"/>
      <c r="B331" s="178"/>
      <c r="C331" s="307"/>
      <c r="D331" s="267"/>
      <c r="E331" s="268"/>
      <c r="F331" s="269"/>
      <c r="G331" s="270"/>
      <c r="H331" s="271"/>
      <c r="I331" s="272"/>
      <c r="J331" s="273"/>
      <c r="K331" s="273"/>
      <c r="L331" s="273"/>
      <c r="M331" s="273"/>
      <c r="N331" s="273"/>
      <c r="O331" s="273"/>
      <c r="P331" s="274"/>
      <c r="Q331" s="273"/>
      <c r="R331" s="308"/>
      <c r="S331" s="273"/>
      <c r="T331" s="276"/>
      <c r="U331" s="194"/>
      <c r="V331" s="174">
        <f t="shared" si="24"/>
        <v>0</v>
      </c>
      <c r="W331" s="175"/>
      <c r="X331" s="175"/>
      <c r="Y331" s="175"/>
      <c r="Z331" s="175"/>
      <c r="AA331" s="175"/>
    </row>
    <row r="332" spans="1:27" s="176" customFormat="1" hidden="1">
      <c r="A332" s="1104"/>
      <c r="B332" s="195"/>
      <c r="C332" s="277"/>
      <c r="D332" s="278"/>
      <c r="E332" s="279"/>
      <c r="F332" s="280"/>
      <c r="G332" s="281"/>
      <c r="H332" s="282"/>
      <c r="I332" s="283"/>
      <c r="J332" s="284"/>
      <c r="K332" s="278"/>
      <c r="L332" s="284"/>
      <c r="M332" s="280"/>
      <c r="N332" s="279"/>
      <c r="O332" s="278"/>
      <c r="P332" s="285"/>
      <c r="Q332" s="280"/>
      <c r="R332" s="203"/>
      <c r="S332" s="284"/>
      <c r="T332" s="286"/>
      <c r="U332" s="205"/>
      <c r="V332" s="174">
        <f t="shared" si="24"/>
        <v>0</v>
      </c>
      <c r="W332" s="175"/>
      <c r="X332" s="175"/>
      <c r="Y332" s="175"/>
      <c r="Z332" s="175"/>
      <c r="AA332" s="175"/>
    </row>
    <row r="333" spans="1:27" s="222" customFormat="1" hidden="1">
      <c r="A333" s="1105"/>
      <c r="B333" s="206"/>
      <c r="C333" s="287"/>
      <c r="D333" s="288"/>
      <c r="E333" s="289"/>
      <c r="F333" s="290"/>
      <c r="G333" s="288"/>
      <c r="H333" s="289"/>
      <c r="I333" s="290"/>
      <c r="J333" s="201"/>
      <c r="K333" s="291"/>
      <c r="L333" s="291"/>
      <c r="M333" s="291"/>
      <c r="N333" s="291"/>
      <c r="O333" s="292"/>
      <c r="P333" s="291"/>
      <c r="Q333" s="292"/>
      <c r="R333" s="218"/>
      <c r="S333" s="293"/>
      <c r="T333" s="204"/>
      <c r="U333" s="221"/>
      <c r="V333" s="174">
        <f t="shared" si="24"/>
        <v>0</v>
      </c>
    </row>
    <row r="334" spans="1:27" s="222" customFormat="1" hidden="1">
      <c r="A334" s="1105"/>
      <c r="B334" s="223"/>
      <c r="C334" s="224"/>
      <c r="D334" s="225"/>
      <c r="E334" s="226"/>
      <c r="F334" s="227"/>
      <c r="G334" s="225"/>
      <c r="H334" s="226"/>
      <c r="I334" s="227"/>
      <c r="J334" s="228"/>
      <c r="K334" s="229"/>
      <c r="L334" s="230"/>
      <c r="M334" s="231"/>
      <c r="N334" s="232"/>
      <c r="O334" s="233"/>
      <c r="P334" s="230"/>
      <c r="Q334" s="234"/>
      <c r="R334" s="235"/>
      <c r="S334" s="236"/>
      <c r="T334" s="294"/>
      <c r="U334" s="238"/>
      <c r="V334" s="174">
        <f t="shared" si="24"/>
        <v>0</v>
      </c>
    </row>
    <row r="335" spans="1:27" s="40" customFormat="1" hidden="1">
      <c r="A335" s="1106"/>
      <c r="B335" s="246"/>
      <c r="C335" s="240"/>
      <c r="D335" s="2527" t="s">
        <v>257</v>
      </c>
      <c r="E335" s="2528"/>
      <c r="F335" s="2528"/>
      <c r="G335" s="2528"/>
      <c r="H335" s="2528"/>
      <c r="I335" s="2529"/>
      <c r="J335" s="2488">
        <f>VLOOKUP(A337,'11 - FINANCEIRA'!_xlnm.Print_Area,30,FALSE)</f>
        <v>4976.93</v>
      </c>
      <c r="K335" s="2489"/>
      <c r="L335" s="309" t="str">
        <f>VLOOKUP(A337,'11 - FINANCEIRA'!_xlnm.Print_Area,4,FALSE)</f>
        <v>m³</v>
      </c>
      <c r="M335" s="2556" t="s">
        <v>258</v>
      </c>
      <c r="N335" s="2557"/>
      <c r="O335" s="2557"/>
      <c r="P335" s="2557"/>
      <c r="Q335" s="2558"/>
      <c r="R335" s="248">
        <f>SUM(R331:R334)</f>
        <v>0</v>
      </c>
      <c r="S335" s="310" t="str">
        <f>L335</f>
        <v>m³</v>
      </c>
      <c r="T335" s="244"/>
      <c r="U335" s="245"/>
      <c r="V335" s="174">
        <f t="shared" si="24"/>
        <v>0</v>
      </c>
    </row>
    <row r="336" spans="1:27" s="40" customFormat="1" hidden="1">
      <c r="A336" s="1106"/>
      <c r="B336" s="246"/>
      <c r="C336" s="247"/>
      <c r="D336" s="2521" t="s">
        <v>259</v>
      </c>
      <c r="E336" s="2522"/>
      <c r="F336" s="2522"/>
      <c r="G336" s="2522"/>
      <c r="H336" s="2522"/>
      <c r="I336" s="2523"/>
      <c r="J336" s="2515">
        <f>R335/J335</f>
        <v>0</v>
      </c>
      <c r="K336" s="2516"/>
      <c r="L336" s="2554"/>
      <c r="M336" s="2556" t="s">
        <v>260</v>
      </c>
      <c r="N336" s="2557"/>
      <c r="O336" s="2557"/>
      <c r="P336" s="2557"/>
      <c r="Q336" s="2558"/>
      <c r="R336" s="248">
        <f>VLOOKUP(A337,'11 - FINANCEIRA'!_xlnm.Print_Area,8,FALSE)</f>
        <v>0</v>
      </c>
      <c r="S336" s="249" t="str">
        <f>L335</f>
        <v>m³</v>
      </c>
      <c r="T336" s="244"/>
      <c r="U336" s="245"/>
      <c r="V336" s="174">
        <f t="shared" si="24"/>
        <v>0</v>
      </c>
    </row>
    <row r="337" spans="1:27" s="40" customFormat="1" hidden="1">
      <c r="A337" s="1106" t="s">
        <v>28</v>
      </c>
      <c r="B337" s="246"/>
      <c r="C337" s="240"/>
      <c r="D337" s="2524"/>
      <c r="E337" s="2525"/>
      <c r="F337" s="2525"/>
      <c r="G337" s="2525"/>
      <c r="H337" s="2525"/>
      <c r="I337" s="2526"/>
      <c r="J337" s="2519"/>
      <c r="K337" s="2520"/>
      <c r="L337" s="2570"/>
      <c r="M337" s="2574" t="s">
        <v>261</v>
      </c>
      <c r="N337" s="2575"/>
      <c r="O337" s="2575"/>
      <c r="P337" s="2575"/>
      <c r="Q337" s="2576"/>
      <c r="R337" s="251">
        <f>R335-R336</f>
        <v>0</v>
      </c>
      <c r="S337" s="252" t="str">
        <f>L335</f>
        <v>m³</v>
      </c>
      <c r="T337" s="244"/>
      <c r="U337" s="245"/>
      <c r="V337" s="174">
        <f>R337</f>
        <v>0</v>
      </c>
    </row>
    <row r="338" spans="1:27" s="40" customFormat="1" hidden="1">
      <c r="A338" s="1106"/>
      <c r="B338" s="311"/>
      <c r="C338" s="312"/>
      <c r="D338" s="313"/>
      <c r="E338" s="314"/>
      <c r="F338" s="313"/>
      <c r="G338" s="313"/>
      <c r="H338" s="313"/>
      <c r="I338" s="313"/>
      <c r="J338" s="315"/>
      <c r="K338" s="316"/>
      <c r="L338" s="317"/>
      <c r="M338" s="318"/>
      <c r="N338" s="318"/>
      <c r="O338" s="318"/>
      <c r="P338" s="318"/>
      <c r="Q338" s="318"/>
      <c r="R338" s="319"/>
      <c r="S338" s="320"/>
      <c r="T338" s="321"/>
      <c r="U338" s="322"/>
      <c r="V338" s="265">
        <f>SUM(V329:V337)</f>
        <v>0</v>
      </c>
    </row>
    <row r="339" spans="1:27" s="176" customFormat="1" ht="61.5" customHeight="1">
      <c r="A339" s="1106"/>
      <c r="B339" s="2463">
        <f>VLOOKUP(A359,'11 - FINANCEIRA'!_xlnm.Print_Area,2,FALSE)</f>
        <v>94340</v>
      </c>
      <c r="C339" s="2644" t="str">
        <f>VLOOKUP(A359,'11 - FINANCEIRA'!_xlnm.Print_Area,3,FALSE)</f>
        <v>ATERRO MECANIZADO DE VALA COM RETROESCAVADEIRA (CAPACIDADE DA CAÇAMBA DA RETRO: 0,26 M³ / POTÊNCIA: 88 HP), LARGURA ATÉ 0,8 M, PROFUNDIDADE DE 1,5 A 3,0 M, COM AREIA PARA ATERRO. AF_05/2016</v>
      </c>
      <c r="D339" s="2472" t="s">
        <v>242</v>
      </c>
      <c r="E339" s="2473"/>
      <c r="F339" s="2473"/>
      <c r="G339" s="2473"/>
      <c r="H339" s="2473"/>
      <c r="I339" s="2474"/>
      <c r="J339" s="2467" t="s">
        <v>243</v>
      </c>
      <c r="K339" s="2467" t="s">
        <v>244</v>
      </c>
      <c r="L339" s="2467" t="s">
        <v>245</v>
      </c>
      <c r="M339" s="2467" t="s">
        <v>246</v>
      </c>
      <c r="N339" s="2467" t="s">
        <v>247</v>
      </c>
      <c r="O339" s="2467" t="s">
        <v>248</v>
      </c>
      <c r="P339" s="2496" t="s">
        <v>265</v>
      </c>
      <c r="Q339" s="2467" t="s">
        <v>250</v>
      </c>
      <c r="R339" s="2579" t="s">
        <v>139</v>
      </c>
      <c r="S339" s="2467" t="s">
        <v>251</v>
      </c>
      <c r="T339" s="2467" t="s">
        <v>252</v>
      </c>
      <c r="U339" s="2584" t="s">
        <v>253</v>
      </c>
      <c r="V339" s="418">
        <f>V340</f>
        <v>168.59999999999991</v>
      </c>
      <c r="W339" s="175"/>
      <c r="X339" s="175"/>
      <c r="Y339" s="175"/>
      <c r="Z339" s="175"/>
      <c r="AA339" s="175"/>
    </row>
    <row r="340" spans="1:27" s="176" customFormat="1">
      <c r="A340" s="1106"/>
      <c r="B340" s="2464" t="e">
        <f>LEFT(#REF!,5)</f>
        <v>#REF!</v>
      </c>
      <c r="C340" s="2645" t="e">
        <f>VLOOKUP(LEFT(#REF!,5),'11 - FINANCEIRA'!_xlnm.Print_Area,2,FALSE)</f>
        <v>#REF!</v>
      </c>
      <c r="D340" s="2475" t="s">
        <v>254</v>
      </c>
      <c r="E340" s="2476"/>
      <c r="F340" s="2477"/>
      <c r="G340" s="2469" t="s">
        <v>255</v>
      </c>
      <c r="H340" s="2470"/>
      <c r="I340" s="2471"/>
      <c r="J340" s="2468"/>
      <c r="K340" s="2468"/>
      <c r="L340" s="2468"/>
      <c r="M340" s="2468"/>
      <c r="N340" s="2468"/>
      <c r="O340" s="2468"/>
      <c r="P340" s="2497"/>
      <c r="Q340" s="2468"/>
      <c r="R340" s="2580"/>
      <c r="S340" s="2468"/>
      <c r="T340" s="2468"/>
      <c r="U340" s="2585"/>
      <c r="V340" s="418">
        <f>V341</f>
        <v>168.59999999999991</v>
      </c>
      <c r="W340" s="175"/>
      <c r="X340" s="175"/>
      <c r="Y340" s="175"/>
      <c r="Z340" s="175"/>
      <c r="AA340" s="175"/>
    </row>
    <row r="341" spans="1:27" s="1424" customFormat="1" ht="17.45" customHeight="1">
      <c r="A341" s="1773"/>
      <c r="B341" s="1420"/>
      <c r="C341" s="1421" t="s">
        <v>302</v>
      </c>
      <c r="D341" s="443">
        <v>-2</v>
      </c>
      <c r="E341" s="444" t="s">
        <v>299</v>
      </c>
      <c r="F341" s="445">
        <v>17.78</v>
      </c>
      <c r="G341" s="443">
        <v>0</v>
      </c>
      <c r="H341" s="444" t="s">
        <v>299</v>
      </c>
      <c r="I341" s="445">
        <v>0</v>
      </c>
      <c r="J341" s="411" t="s">
        <v>300</v>
      </c>
      <c r="K341" s="411">
        <f>(G341-D341)*20+I341-F341</f>
        <v>22.22</v>
      </c>
      <c r="L341" s="411"/>
      <c r="M341" s="411"/>
      <c r="N341" s="411"/>
      <c r="O341" s="411"/>
      <c r="P341" s="411"/>
      <c r="Q341" s="411"/>
      <c r="R341" s="450">
        <v>214.64</v>
      </c>
      <c r="S341" s="411" t="s">
        <v>164</v>
      </c>
      <c r="T341" s="451">
        <v>9</v>
      </c>
      <c r="U341" s="2185" t="s">
        <v>301</v>
      </c>
      <c r="V341" s="1422">
        <f>V342</f>
        <v>168.59999999999991</v>
      </c>
      <c r="W341" s="1423"/>
      <c r="X341" s="1423"/>
      <c r="Y341" s="1423"/>
      <c r="Z341" s="1423"/>
      <c r="AA341" s="1423"/>
    </row>
    <row r="342" spans="1:27" s="1429" customFormat="1" ht="17.45" customHeight="1">
      <c r="A342" s="1774"/>
      <c r="B342" s="1425"/>
      <c r="C342" s="1426" t="s">
        <v>302</v>
      </c>
      <c r="D342" s="676">
        <v>0</v>
      </c>
      <c r="E342" s="198" t="s">
        <v>299</v>
      </c>
      <c r="F342" s="677">
        <v>0</v>
      </c>
      <c r="G342" s="676">
        <v>6</v>
      </c>
      <c r="H342" s="198" t="s">
        <v>299</v>
      </c>
      <c r="I342" s="677">
        <v>10</v>
      </c>
      <c r="J342" s="201" t="s">
        <v>300</v>
      </c>
      <c r="K342" s="680">
        <f>(G342-D342)*20+I342-F342</f>
        <v>130</v>
      </c>
      <c r="L342" s="201"/>
      <c r="M342" s="201"/>
      <c r="N342" s="201"/>
      <c r="O342" s="201"/>
      <c r="P342" s="201"/>
      <c r="Q342" s="201"/>
      <c r="R342" s="685">
        <v>1395.212</v>
      </c>
      <c r="S342" s="201" t="s">
        <v>164</v>
      </c>
      <c r="T342" s="204">
        <v>10</v>
      </c>
      <c r="U342" s="1418" t="s">
        <v>301</v>
      </c>
      <c r="V342" s="1427">
        <f>V343</f>
        <v>168.59999999999991</v>
      </c>
      <c r="W342" s="1428"/>
      <c r="X342" s="1428"/>
      <c r="Y342" s="1428"/>
      <c r="Z342" s="1428"/>
      <c r="AA342" s="1428"/>
    </row>
    <row r="343" spans="1:27" s="1424" customFormat="1" ht="17.45" customHeight="1">
      <c r="A343" s="1773"/>
      <c r="B343" s="1430"/>
      <c r="C343" s="820" t="s">
        <v>302</v>
      </c>
      <c r="D343" s="623">
        <v>0</v>
      </c>
      <c r="E343" s="535" t="s">
        <v>299</v>
      </c>
      <c r="F343" s="625">
        <v>0</v>
      </c>
      <c r="G343" s="560"/>
      <c r="H343" s="464"/>
      <c r="I343" s="463"/>
      <c r="J343" s="340" t="s">
        <v>303</v>
      </c>
      <c r="K343" s="434">
        <v>40.5</v>
      </c>
      <c r="L343" s="340">
        <v>0.8</v>
      </c>
      <c r="M343" s="340">
        <v>1.2</v>
      </c>
      <c r="N343" s="340"/>
      <c r="O343" s="340"/>
      <c r="P343" s="340"/>
      <c r="Q343" s="340"/>
      <c r="R343" s="462">
        <v>38.879999999999995</v>
      </c>
      <c r="S343" s="340" t="s">
        <v>164</v>
      </c>
      <c r="T343" s="347">
        <v>8</v>
      </c>
      <c r="U343" s="1419" t="s">
        <v>304</v>
      </c>
      <c r="V343" s="1422">
        <f>V344</f>
        <v>168.59999999999991</v>
      </c>
      <c r="W343" s="1423"/>
      <c r="X343" s="1423"/>
      <c r="Y343" s="1423"/>
      <c r="Z343" s="1423"/>
      <c r="AA343" s="1423"/>
    </row>
    <row r="344" spans="1:27" s="1424" customFormat="1" ht="17.45" customHeight="1">
      <c r="A344" s="1773"/>
      <c r="B344" s="1430"/>
      <c r="C344" s="820" t="s">
        <v>302</v>
      </c>
      <c r="D344" s="623">
        <v>6</v>
      </c>
      <c r="E344" s="535" t="s">
        <v>299</v>
      </c>
      <c r="F344" s="625">
        <v>14</v>
      </c>
      <c r="G344" s="560">
        <v>7</v>
      </c>
      <c r="H344" s="464" t="s">
        <v>299</v>
      </c>
      <c r="I344" s="463">
        <v>4</v>
      </c>
      <c r="J344" s="340" t="s">
        <v>303</v>
      </c>
      <c r="K344" s="434">
        <v>10</v>
      </c>
      <c r="L344" s="340"/>
      <c r="M344" s="340"/>
      <c r="N344" s="340"/>
      <c r="O344" s="340"/>
      <c r="P344" s="340"/>
      <c r="Q344" s="340"/>
      <c r="R344" s="462">
        <v>117.72499999999999</v>
      </c>
      <c r="S344" s="340" t="s">
        <v>164</v>
      </c>
      <c r="T344" s="347">
        <v>11</v>
      </c>
      <c r="U344" s="1419" t="s">
        <v>304</v>
      </c>
      <c r="V344" s="1422">
        <f>V347</f>
        <v>168.59999999999991</v>
      </c>
      <c r="W344" s="1423"/>
      <c r="X344" s="1423"/>
      <c r="Y344" s="1423"/>
      <c r="Z344" s="1423"/>
      <c r="AA344" s="1423"/>
    </row>
    <row r="345" spans="1:27" s="1424" customFormat="1" ht="17.45" customHeight="1">
      <c r="A345" s="1773"/>
      <c r="B345" s="1430"/>
      <c r="C345" s="820" t="s">
        <v>302</v>
      </c>
      <c r="D345" s="623">
        <f>G344</f>
        <v>7</v>
      </c>
      <c r="E345" s="535" t="s">
        <v>299</v>
      </c>
      <c r="F345" s="625">
        <f>I344</f>
        <v>4</v>
      </c>
      <c r="G345" s="560">
        <v>8</v>
      </c>
      <c r="H345" s="464" t="s">
        <v>299</v>
      </c>
      <c r="I345" s="463">
        <v>12</v>
      </c>
      <c r="J345" s="340" t="s">
        <v>300</v>
      </c>
      <c r="K345" s="434">
        <f>(G345-D345)*20+I345-F345</f>
        <v>28</v>
      </c>
      <c r="L345" s="340">
        <v>7.2</v>
      </c>
      <c r="M345" s="340">
        <v>2.4</v>
      </c>
      <c r="N345" s="340"/>
      <c r="O345" s="340">
        <f>K345*L345*M345</f>
        <v>483.84</v>
      </c>
      <c r="P345" s="340"/>
      <c r="Q345" s="340"/>
      <c r="R345" s="462">
        <f>O345</f>
        <v>483.84</v>
      </c>
      <c r="S345" s="340" t="s">
        <v>164</v>
      </c>
      <c r="T345" s="347">
        <v>18</v>
      </c>
      <c r="U345" s="1419"/>
      <c r="V345" s="1422"/>
      <c r="W345" s="1423"/>
      <c r="X345" s="1423"/>
      <c r="Y345" s="1423"/>
      <c r="Z345" s="1423"/>
      <c r="AA345" s="1423"/>
    </row>
    <row r="346" spans="1:27" s="1424" customFormat="1" ht="17.45" customHeight="1">
      <c r="A346" s="1773"/>
      <c r="B346" s="1430"/>
      <c r="C346" s="820" t="s">
        <v>725</v>
      </c>
      <c r="D346" s="496">
        <v>24</v>
      </c>
      <c r="E346" s="606" t="s">
        <v>299</v>
      </c>
      <c r="F346" s="498">
        <v>4</v>
      </c>
      <c r="G346" s="496">
        <v>25</v>
      </c>
      <c r="H346" s="606" t="s">
        <v>299</v>
      </c>
      <c r="I346" s="498">
        <v>13</v>
      </c>
      <c r="J346" s="434" t="s">
        <v>300</v>
      </c>
      <c r="K346" s="434">
        <f>(G346-D346)*20+I346-F346</f>
        <v>29</v>
      </c>
      <c r="L346" s="340"/>
      <c r="M346" s="463"/>
      <c r="N346" s="464"/>
      <c r="O346" s="560">
        <v>189.39</v>
      </c>
      <c r="P346" s="340"/>
      <c r="Q346" s="463"/>
      <c r="R346" s="462">
        <f t="shared" ref="R346:R351" si="25">O346</f>
        <v>189.39</v>
      </c>
      <c r="S346" s="340" t="s">
        <v>144</v>
      </c>
      <c r="T346" s="347">
        <v>18</v>
      </c>
      <c r="U346" s="1431" t="s">
        <v>714</v>
      </c>
      <c r="V346" s="1422">
        <f>V357</f>
        <v>168.59999999999991</v>
      </c>
      <c r="W346" s="1423"/>
      <c r="X346" s="1423"/>
      <c r="Y346" s="1423"/>
      <c r="Z346" s="1423"/>
      <c r="AA346" s="1423"/>
    </row>
    <row r="347" spans="1:27" s="1423" customFormat="1" ht="17.45" customHeight="1">
      <c r="A347" s="1773"/>
      <c r="B347" s="1430"/>
      <c r="C347" s="820" t="s">
        <v>302</v>
      </c>
      <c r="D347" s="821">
        <v>9</v>
      </c>
      <c r="E347" s="1159" t="s">
        <v>299</v>
      </c>
      <c r="F347" s="823">
        <v>16</v>
      </c>
      <c r="G347" s="618">
        <v>11</v>
      </c>
      <c r="H347" s="714" t="s">
        <v>299</v>
      </c>
      <c r="I347" s="566">
        <v>7</v>
      </c>
      <c r="J347" s="340" t="s">
        <v>300</v>
      </c>
      <c r="K347" s="434">
        <f>(G347-D347)*20+I347-F347</f>
        <v>31</v>
      </c>
      <c r="L347" s="340">
        <v>7.2</v>
      </c>
      <c r="M347" s="340">
        <v>2.4</v>
      </c>
      <c r="N347" s="340"/>
      <c r="O347" s="340">
        <f>K347*L347*M347</f>
        <v>535.68000000000006</v>
      </c>
      <c r="P347" s="340"/>
      <c r="Q347" s="340"/>
      <c r="R347" s="462">
        <f>O347</f>
        <v>535.68000000000006</v>
      </c>
      <c r="S347" s="340" t="s">
        <v>164</v>
      </c>
      <c r="T347" s="347">
        <v>19</v>
      </c>
      <c r="U347" s="1419"/>
      <c r="V347" s="1422">
        <f>V357</f>
        <v>168.59999999999991</v>
      </c>
    </row>
    <row r="348" spans="1:27" s="1423" customFormat="1" ht="17.45" customHeight="1">
      <c r="A348" s="1773"/>
      <c r="B348" s="1430"/>
      <c r="C348" s="1433" t="s">
        <v>302</v>
      </c>
      <c r="D348" s="623"/>
      <c r="E348" s="535"/>
      <c r="F348" s="624"/>
      <c r="G348" s="560"/>
      <c r="H348" s="464"/>
      <c r="I348" s="464"/>
      <c r="J348" s="340"/>
      <c r="K348" s="606">
        <v>29</v>
      </c>
      <c r="L348" s="340">
        <v>0.8</v>
      </c>
      <c r="M348" s="464">
        <v>1.2</v>
      </c>
      <c r="N348" s="340"/>
      <c r="O348" s="340">
        <f>K348*L348*M348-O346</f>
        <v>-161.54999999999998</v>
      </c>
      <c r="P348" s="340"/>
      <c r="Q348" s="340"/>
      <c r="R348" s="462">
        <f t="shared" si="25"/>
        <v>-161.54999999999998</v>
      </c>
      <c r="S348" s="340" t="s">
        <v>164</v>
      </c>
      <c r="T348" s="347" t="s">
        <v>733</v>
      </c>
      <c r="U348" s="1419" t="s">
        <v>734</v>
      </c>
      <c r="V348" s="1422"/>
    </row>
    <row r="349" spans="1:27" s="1423" customFormat="1" ht="17.45" customHeight="1">
      <c r="A349" s="1773"/>
      <c r="B349" s="1430"/>
      <c r="C349" s="1433" t="s">
        <v>302</v>
      </c>
      <c r="D349" s="560">
        <v>11</v>
      </c>
      <c r="E349" s="464" t="s">
        <v>299</v>
      </c>
      <c r="F349" s="463">
        <v>7</v>
      </c>
      <c r="G349" s="560">
        <v>11</v>
      </c>
      <c r="H349" s="464" t="s">
        <v>299</v>
      </c>
      <c r="I349" s="464">
        <v>10</v>
      </c>
      <c r="J349" s="340"/>
      <c r="K349" s="434">
        <f>(G349-D349)*20+I349-F349</f>
        <v>3</v>
      </c>
      <c r="L349" s="434">
        <v>7.2</v>
      </c>
      <c r="M349" s="464">
        <v>2.4</v>
      </c>
      <c r="N349" s="340"/>
      <c r="O349" s="340">
        <f>K349*L349*M349</f>
        <v>51.84</v>
      </c>
      <c r="P349" s="340"/>
      <c r="Q349" s="340"/>
      <c r="R349" s="462">
        <f t="shared" si="25"/>
        <v>51.84</v>
      </c>
      <c r="S349" s="340" t="s">
        <v>164</v>
      </c>
      <c r="T349" s="347">
        <v>20</v>
      </c>
      <c r="U349" s="1419"/>
      <c r="V349" s="1422"/>
    </row>
    <row r="350" spans="1:27" s="1423" customFormat="1" ht="17.45" customHeight="1">
      <c r="A350" s="1773"/>
      <c r="B350" s="1434"/>
      <c r="C350" s="1433" t="s">
        <v>302</v>
      </c>
      <c r="D350" s="560">
        <f>G345</f>
        <v>8</v>
      </c>
      <c r="E350" s="464" t="s">
        <v>299</v>
      </c>
      <c r="F350" s="463">
        <f>I345</f>
        <v>12</v>
      </c>
      <c r="G350" s="496">
        <f>D347</f>
        <v>9</v>
      </c>
      <c r="H350" s="464" t="s">
        <v>299</v>
      </c>
      <c r="I350" s="606">
        <f>F347</f>
        <v>16</v>
      </c>
      <c r="J350" s="340"/>
      <c r="K350" s="434">
        <f>(G350-D350)*20+I350-F350</f>
        <v>24</v>
      </c>
      <c r="L350" s="434">
        <v>7.2</v>
      </c>
      <c r="M350" s="464">
        <v>2.4</v>
      </c>
      <c r="N350" s="340"/>
      <c r="O350" s="340">
        <f>K350*L350*M350</f>
        <v>414.72</v>
      </c>
      <c r="P350" s="340"/>
      <c r="Q350" s="340"/>
      <c r="R350" s="462">
        <f t="shared" si="25"/>
        <v>414.72</v>
      </c>
      <c r="S350" s="340" t="s">
        <v>164</v>
      </c>
      <c r="T350" s="347">
        <v>21</v>
      </c>
      <c r="U350" s="1419"/>
      <c r="V350" s="1422"/>
    </row>
    <row r="351" spans="1:27" s="1423" customFormat="1" ht="17.45" customHeight="1">
      <c r="A351" s="1773"/>
      <c r="B351" s="1430"/>
      <c r="C351" s="1433" t="s">
        <v>302</v>
      </c>
      <c r="D351" s="560">
        <v>11</v>
      </c>
      <c r="E351" s="464" t="s">
        <v>299</v>
      </c>
      <c r="F351" s="463">
        <v>10</v>
      </c>
      <c r="G351" s="496">
        <v>12</v>
      </c>
      <c r="H351" s="464" t="s">
        <v>299</v>
      </c>
      <c r="I351" s="606">
        <v>19</v>
      </c>
      <c r="J351" s="340"/>
      <c r="K351" s="434">
        <f>(G351-D351)*20+I351-F351</f>
        <v>29</v>
      </c>
      <c r="L351" s="434">
        <v>7.2</v>
      </c>
      <c r="M351" s="464">
        <v>2.4</v>
      </c>
      <c r="N351" s="340"/>
      <c r="O351" s="340">
        <f>K351*L351*M351</f>
        <v>501.12</v>
      </c>
      <c r="P351" s="340"/>
      <c r="Q351" s="340"/>
      <c r="R351" s="462">
        <f t="shared" si="25"/>
        <v>501.12</v>
      </c>
      <c r="S351" s="340" t="s">
        <v>164</v>
      </c>
      <c r="T351" s="347">
        <v>22</v>
      </c>
      <c r="U351" s="1419" t="s">
        <v>865</v>
      </c>
      <c r="V351" s="1422"/>
    </row>
    <row r="352" spans="1:27" s="1423" customFormat="1" ht="17.45" customHeight="1">
      <c r="A352" s="1773"/>
      <c r="B352" s="1435"/>
      <c r="C352" s="1462" t="s">
        <v>863</v>
      </c>
      <c r="D352" s="496">
        <v>9</v>
      </c>
      <c r="E352" s="497" t="s">
        <v>299</v>
      </c>
      <c r="F352" s="498">
        <v>10</v>
      </c>
      <c r="G352" s="496">
        <v>13</v>
      </c>
      <c r="H352" s="497" t="s">
        <v>299</v>
      </c>
      <c r="I352" s="498">
        <v>7</v>
      </c>
      <c r="J352" s="463" t="s">
        <v>300</v>
      </c>
      <c r="K352" s="509">
        <f>(G352-D352)*20+I352-F352</f>
        <v>77</v>
      </c>
      <c r="L352" s="344">
        <v>0.8</v>
      </c>
      <c r="M352" s="344">
        <v>1.2</v>
      </c>
      <c r="N352" s="344"/>
      <c r="O352" s="344">
        <f>K352*L352*M352</f>
        <v>73.92</v>
      </c>
      <c r="P352" s="344"/>
      <c r="Q352" s="344"/>
      <c r="R352" s="1071">
        <f>O352</f>
        <v>73.92</v>
      </c>
      <c r="S352" s="505" t="s">
        <v>164</v>
      </c>
      <c r="T352" s="1120">
        <v>22</v>
      </c>
      <c r="U352" s="1419"/>
      <c r="V352" s="1422"/>
    </row>
    <row r="353" spans="1:27" s="1423" customFormat="1" ht="17.45" customHeight="1">
      <c r="A353" s="1773"/>
      <c r="B353" s="1435"/>
      <c r="C353" s="1462" t="s">
        <v>864</v>
      </c>
      <c r="D353" s="496"/>
      <c r="E353" s="497"/>
      <c r="F353" s="498"/>
      <c r="G353" s="496"/>
      <c r="H353" s="497"/>
      <c r="I353" s="498"/>
      <c r="J353" s="463"/>
      <c r="K353" s="509">
        <v>54</v>
      </c>
      <c r="L353" s="344">
        <v>0.8</v>
      </c>
      <c r="M353" s="344">
        <v>1.2</v>
      </c>
      <c r="N353" s="344"/>
      <c r="O353" s="344">
        <f>K353*L353*M353</f>
        <v>51.84</v>
      </c>
      <c r="P353" s="344"/>
      <c r="Q353" s="344"/>
      <c r="R353" s="1071">
        <f>O353</f>
        <v>51.84</v>
      </c>
      <c r="S353" s="505" t="s">
        <v>164</v>
      </c>
      <c r="T353" s="1120">
        <v>22</v>
      </c>
      <c r="U353" s="1419"/>
      <c r="V353" s="1422"/>
    </row>
    <row r="354" spans="1:27" s="1423" customFormat="1" ht="17.45" customHeight="1">
      <c r="A354" s="1773"/>
      <c r="B354" s="1459"/>
      <c r="C354" s="1463" t="s">
        <v>365</v>
      </c>
      <c r="D354" s="436">
        <v>41</v>
      </c>
      <c r="E354" s="983" t="s">
        <v>299</v>
      </c>
      <c r="F354" s="437">
        <v>0</v>
      </c>
      <c r="G354" s="436">
        <v>43</v>
      </c>
      <c r="H354" s="983" t="s">
        <v>299</v>
      </c>
      <c r="I354" s="437">
        <v>14</v>
      </c>
      <c r="J354" s="463"/>
      <c r="K354" s="439">
        <f>(G354-D354)*20+I354-F354</f>
        <v>54</v>
      </c>
      <c r="L354" s="553">
        <v>0.5</v>
      </c>
      <c r="M354" s="553">
        <v>2.2999999999999998</v>
      </c>
      <c r="N354" s="868"/>
      <c r="O354" s="1205">
        <f t="shared" ref="O354:O355" si="26">K354*L354*M354*2</f>
        <v>124.19999999999999</v>
      </c>
      <c r="P354" s="890"/>
      <c r="Q354" s="868"/>
      <c r="R354" s="1154">
        <f t="shared" ref="R354:R355" si="27">O354</f>
        <v>124.19999999999999</v>
      </c>
      <c r="S354" s="892" t="s">
        <v>164</v>
      </c>
      <c r="T354" s="892">
        <v>28</v>
      </c>
      <c r="U354" s="1460"/>
      <c r="V354" s="1422"/>
    </row>
    <row r="355" spans="1:27" s="1423" customFormat="1" ht="17.45" customHeight="1">
      <c r="A355" s="1773"/>
      <c r="B355" s="2186"/>
      <c r="C355" s="2187" t="s">
        <v>1156</v>
      </c>
      <c r="D355" s="1240">
        <v>40</v>
      </c>
      <c r="E355" s="2188" t="s">
        <v>299</v>
      </c>
      <c r="F355" s="1242">
        <v>0</v>
      </c>
      <c r="G355" s="1240">
        <v>43</v>
      </c>
      <c r="H355" s="2188" t="s">
        <v>299</v>
      </c>
      <c r="I355" s="1242">
        <v>14</v>
      </c>
      <c r="J355" s="2189"/>
      <c r="K355" s="1492">
        <f>(G355-D355)*20+I355-F355</f>
        <v>74</v>
      </c>
      <c r="L355" s="1408">
        <v>0.6</v>
      </c>
      <c r="M355" s="1408">
        <v>0.5</v>
      </c>
      <c r="N355" s="1718"/>
      <c r="O355" s="2190">
        <f t="shared" si="26"/>
        <v>44.4</v>
      </c>
      <c r="P355" s="1719"/>
      <c r="Q355" s="1718"/>
      <c r="R355" s="2191">
        <f t="shared" si="27"/>
        <v>44.4</v>
      </c>
      <c r="S355" s="1721" t="s">
        <v>164</v>
      </c>
      <c r="T355" s="1721">
        <v>28</v>
      </c>
      <c r="U355" s="2192"/>
      <c r="V355" s="1422"/>
    </row>
    <row r="356" spans="1:27" s="1423" customFormat="1" ht="17.45" hidden="1" customHeight="1">
      <c r="A356" s="1432"/>
      <c r="B356" s="2082"/>
      <c r="C356" s="2083"/>
      <c r="D356" s="1234"/>
      <c r="E356" s="1371"/>
      <c r="F356" s="653"/>
      <c r="G356" s="653"/>
      <c r="H356" s="1371"/>
      <c r="I356" s="1235"/>
      <c r="J356" s="1125"/>
      <c r="K356" s="1152"/>
      <c r="L356" s="1153"/>
      <c r="M356" s="2084"/>
      <c r="N356" s="1372"/>
      <c r="O356" s="1372"/>
      <c r="P356" s="1372"/>
      <c r="Q356" s="1153"/>
      <c r="R356" s="2085"/>
      <c r="S356" s="1153"/>
      <c r="T356" s="1028"/>
      <c r="U356" s="2086"/>
      <c r="V356" s="1422"/>
    </row>
    <row r="357" spans="1:27" s="40" customFormat="1">
      <c r="A357" s="1106"/>
      <c r="B357" s="239"/>
      <c r="C357" s="1624"/>
      <c r="D357" s="2527" t="s">
        <v>257</v>
      </c>
      <c r="E357" s="2528"/>
      <c r="F357" s="2528"/>
      <c r="G357" s="2528"/>
      <c r="H357" s="2528"/>
      <c r="I357" s="2529"/>
      <c r="J357" s="2490">
        <f>VLOOKUP(A359,'11 - FINANCEIRA'!_xlnm.Print_Area,30,FALSE)</f>
        <v>4098</v>
      </c>
      <c r="K357" s="2491"/>
      <c r="L357" s="309" t="str">
        <f>VLOOKUP(A359,'11 - FINANCEIRA'!_xlnm.Print_Area,4,FALSE)</f>
        <v>m³</v>
      </c>
      <c r="M357" s="2556" t="s">
        <v>258</v>
      </c>
      <c r="N357" s="2557"/>
      <c r="O357" s="2557"/>
      <c r="P357" s="2557"/>
      <c r="Q357" s="2558"/>
      <c r="R357" s="248">
        <f>SUM(R341:R356)</f>
        <v>4075.8570000000004</v>
      </c>
      <c r="S357" s="310" t="str">
        <f>L357</f>
        <v>m³</v>
      </c>
      <c r="T357" s="321"/>
      <c r="U357" s="322"/>
      <c r="V357" s="418">
        <f>V358</f>
        <v>168.59999999999991</v>
      </c>
    </row>
    <row r="358" spans="1:27" s="40" customFormat="1">
      <c r="A358" s="1106"/>
      <c r="B358" s="1123"/>
      <c r="C358" s="2193"/>
      <c r="D358" s="2521" t="s">
        <v>259</v>
      </c>
      <c r="E358" s="2522"/>
      <c r="F358" s="2522"/>
      <c r="G358" s="2522"/>
      <c r="H358" s="2522"/>
      <c r="I358" s="2523"/>
      <c r="J358" s="2515">
        <f>R357/J357</f>
        <v>0.99459663250366037</v>
      </c>
      <c r="K358" s="2516"/>
      <c r="L358" s="2554"/>
      <c r="M358" s="2556" t="s">
        <v>260</v>
      </c>
      <c r="N358" s="2557"/>
      <c r="O358" s="2557"/>
      <c r="P358" s="2557"/>
      <c r="Q358" s="2558"/>
      <c r="R358" s="248">
        <f>VLOOKUP(A359,'11 - FINANCEIRA'!_xlnm.Print_Area,8,FALSE)</f>
        <v>3907.2570000000005</v>
      </c>
      <c r="S358" s="249" t="str">
        <f>L357</f>
        <v>m³</v>
      </c>
      <c r="T358" s="244"/>
      <c r="U358" s="1124"/>
      <c r="V358" s="418">
        <f>V359</f>
        <v>168.59999999999991</v>
      </c>
    </row>
    <row r="359" spans="1:27" s="40" customFormat="1">
      <c r="A359" s="1106" t="s">
        <v>29</v>
      </c>
      <c r="B359" s="250"/>
      <c r="C359" s="1626"/>
      <c r="D359" s="2539"/>
      <c r="E359" s="2540"/>
      <c r="F359" s="2540"/>
      <c r="G359" s="2540"/>
      <c r="H359" s="2540"/>
      <c r="I359" s="2541"/>
      <c r="J359" s="2517"/>
      <c r="K359" s="2518"/>
      <c r="L359" s="2555"/>
      <c r="M359" s="2556" t="s">
        <v>261</v>
      </c>
      <c r="N359" s="2557"/>
      <c r="O359" s="2557"/>
      <c r="P359" s="2557"/>
      <c r="Q359" s="2558"/>
      <c r="R359" s="248">
        <f>R357-R358</f>
        <v>168.59999999999991</v>
      </c>
      <c r="S359" s="249" t="str">
        <f>L357</f>
        <v>m³</v>
      </c>
      <c r="T359" s="562"/>
      <c r="U359" s="563"/>
      <c r="V359" s="418">
        <f>R359</f>
        <v>168.59999999999991</v>
      </c>
    </row>
    <row r="360" spans="1:27" s="40" customFormat="1" hidden="1">
      <c r="A360" s="1106"/>
      <c r="B360" s="253"/>
      <c r="C360" s="2062"/>
      <c r="D360" s="2063"/>
      <c r="E360" s="2064"/>
      <c r="F360" s="2063"/>
      <c r="G360" s="2063"/>
      <c r="H360" s="2063"/>
      <c r="I360" s="2063"/>
      <c r="J360" s="2065"/>
      <c r="K360" s="2066"/>
      <c r="L360" s="2067"/>
      <c r="M360" s="2068"/>
      <c r="N360" s="2068"/>
      <c r="O360" s="2068"/>
      <c r="P360" s="2068"/>
      <c r="Q360" s="2068"/>
      <c r="R360" s="2069"/>
      <c r="S360" s="2070"/>
      <c r="T360" s="562"/>
      <c r="U360" s="563"/>
      <c r="V360" s="418">
        <f>SUM(V339:V359)</f>
        <v>1854.599999999999</v>
      </c>
    </row>
    <row r="361" spans="1:27" s="176" customFormat="1" hidden="1">
      <c r="A361" s="1106"/>
      <c r="B361" s="2463">
        <f>VLOOKUP(A372,'11 - FINANCEIRA'!_xlnm.Print_Area,2,FALSE)</f>
        <v>42045</v>
      </c>
      <c r="C361" s="2503" t="str">
        <f>VLOOKUP(A372,'11 - FINANCEIRA'!_xlnm.Print_Area,3,FALSE)</f>
        <v>Aquisição de solo de jazida comercial (saibreira) - BDI = 14,02</v>
      </c>
      <c r="D361" s="2472" t="s">
        <v>242</v>
      </c>
      <c r="E361" s="2473"/>
      <c r="F361" s="2473"/>
      <c r="G361" s="2473"/>
      <c r="H361" s="2473"/>
      <c r="I361" s="2474"/>
      <c r="J361" s="2467" t="s">
        <v>243</v>
      </c>
      <c r="K361" s="2467" t="s">
        <v>244</v>
      </c>
      <c r="L361" s="2467" t="s">
        <v>245</v>
      </c>
      <c r="M361" s="2467" t="s">
        <v>246</v>
      </c>
      <c r="N361" s="2467" t="s">
        <v>247</v>
      </c>
      <c r="O361" s="2467" t="s">
        <v>248</v>
      </c>
      <c r="P361" s="173" t="s">
        <v>249</v>
      </c>
      <c r="Q361" s="2467" t="s">
        <v>250</v>
      </c>
      <c r="R361" s="2579" t="s">
        <v>139</v>
      </c>
      <c r="S361" s="2467" t="s">
        <v>251</v>
      </c>
      <c r="T361" s="2467" t="s">
        <v>252</v>
      </c>
      <c r="U361" s="2584" t="s">
        <v>253</v>
      </c>
      <c r="V361" s="174">
        <f t="shared" ref="V361:V371" si="28">V362</f>
        <v>0</v>
      </c>
      <c r="W361" s="175"/>
      <c r="X361" s="175"/>
      <c r="Y361" s="175"/>
      <c r="Z361" s="175"/>
      <c r="AA361" s="175"/>
    </row>
    <row r="362" spans="1:27" s="176" customFormat="1" hidden="1">
      <c r="A362" s="1106"/>
      <c r="B362" s="2640" t="e">
        <f>LEFT(#REF!,5)</f>
        <v>#REF!</v>
      </c>
      <c r="C362" s="2702" t="e">
        <f>VLOOKUP(LEFT(#REF!,5),'11 - FINANCEIRA'!_xlnm.Print_Area,2,FALSE)</f>
        <v>#REF!</v>
      </c>
      <c r="D362" s="2634" t="s">
        <v>254</v>
      </c>
      <c r="E362" s="2635"/>
      <c r="F362" s="2636"/>
      <c r="G362" s="2637" t="s">
        <v>255</v>
      </c>
      <c r="H362" s="2638"/>
      <c r="I362" s="2639"/>
      <c r="J362" s="2632"/>
      <c r="K362" s="2632"/>
      <c r="L362" s="2632"/>
      <c r="M362" s="2632"/>
      <c r="N362" s="2632"/>
      <c r="O362" s="2632"/>
      <c r="P362" s="838" t="s">
        <v>256</v>
      </c>
      <c r="Q362" s="2632"/>
      <c r="R362" s="2631"/>
      <c r="S362" s="2632"/>
      <c r="T362" s="2632"/>
      <c r="U362" s="2633"/>
      <c r="V362" s="174">
        <f t="shared" si="28"/>
        <v>0</v>
      </c>
      <c r="W362" s="175"/>
      <c r="X362" s="175"/>
      <c r="Y362" s="175"/>
      <c r="Z362" s="175"/>
      <c r="AA362" s="175"/>
    </row>
    <row r="363" spans="1:27" s="176" customFormat="1" hidden="1">
      <c r="A363" s="1110"/>
      <c r="B363" s="296"/>
      <c r="C363" s="339" t="s">
        <v>703</v>
      </c>
      <c r="D363" s="560">
        <v>9</v>
      </c>
      <c r="E363" s="464" t="s">
        <v>299</v>
      </c>
      <c r="F363" s="463">
        <v>7</v>
      </c>
      <c r="G363" s="458">
        <v>9</v>
      </c>
      <c r="H363" s="459" t="s">
        <v>299</v>
      </c>
      <c r="I363" s="460">
        <v>13</v>
      </c>
      <c r="J363" s="340"/>
      <c r="K363" s="434">
        <f t="shared" ref="K363:K368" si="29">(G363-D363)*20+I363-F363</f>
        <v>6</v>
      </c>
      <c r="L363" s="340">
        <v>9.8000000000000007</v>
      </c>
      <c r="M363" s="340">
        <v>3</v>
      </c>
      <c r="N363" s="340"/>
      <c r="O363" s="340">
        <f t="shared" ref="O363:O368" si="30">K363*L363*M363</f>
        <v>176.4</v>
      </c>
      <c r="P363" s="461"/>
      <c r="Q363" s="340"/>
      <c r="R363" s="462">
        <f t="shared" ref="R363:R368" si="31">O363</f>
        <v>176.4</v>
      </c>
      <c r="S363" s="340" t="s">
        <v>476</v>
      </c>
      <c r="T363" s="347">
        <v>18</v>
      </c>
      <c r="U363" s="408" t="s">
        <v>704</v>
      </c>
      <c r="V363" s="306">
        <f t="shared" si="28"/>
        <v>0</v>
      </c>
      <c r="W363" s="175"/>
      <c r="X363" s="175"/>
      <c r="Y363" s="175"/>
      <c r="Z363" s="175"/>
      <c r="AA363" s="175"/>
    </row>
    <row r="364" spans="1:27" s="176" customFormat="1" hidden="1">
      <c r="A364" s="1110"/>
      <c r="B364" s="296"/>
      <c r="C364" s="339" t="s">
        <v>703</v>
      </c>
      <c r="D364" s="560">
        <v>11</v>
      </c>
      <c r="E364" s="464" t="s">
        <v>299</v>
      </c>
      <c r="F364" s="463">
        <v>7</v>
      </c>
      <c r="G364" s="458">
        <v>11</v>
      </c>
      <c r="H364" s="459" t="s">
        <v>299</v>
      </c>
      <c r="I364" s="460">
        <v>13</v>
      </c>
      <c r="J364" s="340"/>
      <c r="K364" s="434">
        <f t="shared" si="29"/>
        <v>6</v>
      </c>
      <c r="L364" s="340">
        <v>9.8000000000000007</v>
      </c>
      <c r="M364" s="340">
        <v>3</v>
      </c>
      <c r="N364" s="340"/>
      <c r="O364" s="340">
        <f t="shared" si="30"/>
        <v>176.4</v>
      </c>
      <c r="P364" s="461"/>
      <c r="Q364" s="340"/>
      <c r="R364" s="462">
        <f t="shared" si="31"/>
        <v>176.4</v>
      </c>
      <c r="S364" s="340" t="s">
        <v>476</v>
      </c>
      <c r="T364" s="347">
        <v>18</v>
      </c>
      <c r="U364" s="408" t="s">
        <v>705</v>
      </c>
      <c r="V364" s="306">
        <f>V366</f>
        <v>0</v>
      </c>
      <c r="W364" s="175"/>
      <c r="X364" s="175"/>
      <c r="Y364" s="175"/>
      <c r="Z364" s="175"/>
      <c r="AA364" s="175"/>
    </row>
    <row r="365" spans="1:27" s="176" customFormat="1" hidden="1">
      <c r="A365" s="1106"/>
      <c r="B365" s="767"/>
      <c r="C365" s="339" t="s">
        <v>703</v>
      </c>
      <c r="D365" s="560">
        <v>9</v>
      </c>
      <c r="E365" s="464" t="s">
        <v>299</v>
      </c>
      <c r="F365" s="463">
        <v>0</v>
      </c>
      <c r="G365" s="458">
        <v>9</v>
      </c>
      <c r="H365" s="459" t="s">
        <v>299</v>
      </c>
      <c r="I365" s="460">
        <v>10</v>
      </c>
      <c r="J365" s="340"/>
      <c r="K365" s="434">
        <f t="shared" si="29"/>
        <v>10</v>
      </c>
      <c r="L365" s="340">
        <v>6</v>
      </c>
      <c r="M365" s="340">
        <v>3</v>
      </c>
      <c r="N365" s="340"/>
      <c r="O365" s="340">
        <f t="shared" si="30"/>
        <v>180</v>
      </c>
      <c r="P365" s="461"/>
      <c r="Q365" s="340"/>
      <c r="R365" s="462">
        <f t="shared" si="31"/>
        <v>180</v>
      </c>
      <c r="S365" s="340" t="s">
        <v>476</v>
      </c>
      <c r="T365" s="347">
        <v>19</v>
      </c>
      <c r="U365" s="408" t="s">
        <v>726</v>
      </c>
      <c r="V365" s="174">
        <f t="shared" si="28"/>
        <v>0</v>
      </c>
      <c r="W365" s="175"/>
      <c r="X365" s="175"/>
      <c r="Y365" s="175"/>
      <c r="Z365" s="175"/>
      <c r="AA365" s="175"/>
    </row>
    <row r="366" spans="1:27" s="176" customFormat="1" hidden="1">
      <c r="A366" s="1106"/>
      <c r="B366" s="767"/>
      <c r="C366" s="339" t="s">
        <v>703</v>
      </c>
      <c r="D366" s="560">
        <v>11</v>
      </c>
      <c r="E366" s="464" t="s">
        <v>299</v>
      </c>
      <c r="F366" s="463">
        <v>0</v>
      </c>
      <c r="G366" s="458">
        <v>11</v>
      </c>
      <c r="H366" s="459" t="s">
        <v>299</v>
      </c>
      <c r="I366" s="460">
        <v>7</v>
      </c>
      <c r="J366" s="340"/>
      <c r="K366" s="434">
        <f t="shared" si="29"/>
        <v>7</v>
      </c>
      <c r="L366" s="340">
        <v>9.8000000000000007</v>
      </c>
      <c r="M366" s="340">
        <v>3</v>
      </c>
      <c r="N366" s="340"/>
      <c r="O366" s="340">
        <f t="shared" si="30"/>
        <v>205.8</v>
      </c>
      <c r="P366" s="461"/>
      <c r="Q366" s="340"/>
      <c r="R366" s="462">
        <f t="shared" si="31"/>
        <v>205.8</v>
      </c>
      <c r="S366" s="340" t="s">
        <v>476</v>
      </c>
      <c r="T366" s="347">
        <v>19</v>
      </c>
      <c r="U366" s="408" t="s">
        <v>726</v>
      </c>
      <c r="V366" s="174">
        <f>V370</f>
        <v>0</v>
      </c>
      <c r="W366" s="175"/>
      <c r="X366" s="175"/>
      <c r="Y366" s="175"/>
      <c r="Z366" s="175"/>
      <c r="AA366" s="175"/>
    </row>
    <row r="367" spans="1:27" s="176" customFormat="1" hidden="1">
      <c r="A367" s="1110"/>
      <c r="B367" s="296"/>
      <c r="C367" s="339" t="s">
        <v>745</v>
      </c>
      <c r="D367" s="560">
        <v>11</v>
      </c>
      <c r="E367" s="464" t="s">
        <v>299</v>
      </c>
      <c r="F367" s="463">
        <v>0</v>
      </c>
      <c r="G367" s="458">
        <v>11</v>
      </c>
      <c r="H367" s="459" t="s">
        <v>299</v>
      </c>
      <c r="I367" s="460">
        <v>7</v>
      </c>
      <c r="J367" s="340"/>
      <c r="K367" s="434">
        <f t="shared" si="29"/>
        <v>7</v>
      </c>
      <c r="L367" s="340">
        <v>9.8000000000000007</v>
      </c>
      <c r="M367" s="340">
        <v>2.5</v>
      </c>
      <c r="N367" s="340"/>
      <c r="O367" s="340">
        <f t="shared" si="30"/>
        <v>171.50000000000003</v>
      </c>
      <c r="P367" s="461"/>
      <c r="Q367" s="340"/>
      <c r="R367" s="462">
        <f t="shared" si="31"/>
        <v>171.50000000000003</v>
      </c>
      <c r="S367" s="340" t="s">
        <v>476</v>
      </c>
      <c r="T367" s="347">
        <v>20</v>
      </c>
      <c r="U367" s="408" t="s">
        <v>746</v>
      </c>
      <c r="V367" s="306">
        <f>V371</f>
        <v>0</v>
      </c>
      <c r="W367" s="175"/>
      <c r="X367" s="175"/>
      <c r="Y367" s="175"/>
      <c r="Z367" s="175"/>
      <c r="AA367" s="175"/>
    </row>
    <row r="368" spans="1:27" s="176" customFormat="1" hidden="1">
      <c r="A368" s="1110"/>
      <c r="B368" s="296"/>
      <c r="C368" s="339" t="s">
        <v>774</v>
      </c>
      <c r="D368" s="560">
        <v>8</v>
      </c>
      <c r="E368" s="464" t="s">
        <v>299</v>
      </c>
      <c r="F368" s="463">
        <v>12</v>
      </c>
      <c r="G368" s="458">
        <v>9</v>
      </c>
      <c r="H368" s="459" t="s">
        <v>299</v>
      </c>
      <c r="I368" s="460">
        <v>16</v>
      </c>
      <c r="J368" s="340"/>
      <c r="K368" s="434">
        <f t="shared" si="29"/>
        <v>24</v>
      </c>
      <c r="L368" s="340">
        <v>11</v>
      </c>
      <c r="M368" s="340">
        <v>0.5</v>
      </c>
      <c r="N368" s="340"/>
      <c r="O368" s="340">
        <f t="shared" si="30"/>
        <v>132</v>
      </c>
      <c r="P368" s="461"/>
      <c r="Q368" s="340"/>
      <c r="R368" s="462">
        <f t="shared" si="31"/>
        <v>132</v>
      </c>
      <c r="S368" s="340" t="s">
        <v>476</v>
      </c>
      <c r="T368" s="347">
        <v>21</v>
      </c>
      <c r="U368" s="408" t="s">
        <v>746</v>
      </c>
      <c r="V368" s="306">
        <f>V372</f>
        <v>0</v>
      </c>
      <c r="W368" s="175"/>
      <c r="X368" s="175"/>
      <c r="Y368" s="175"/>
      <c r="Z368" s="175"/>
      <c r="AA368" s="175"/>
    </row>
    <row r="369" spans="1:27" s="176" customFormat="1" hidden="1">
      <c r="A369" s="1104"/>
      <c r="B369" s="995"/>
      <c r="C369" s="1018"/>
      <c r="D369" s="187"/>
      <c r="E369" s="189"/>
      <c r="F369" s="189"/>
      <c r="G369" s="957"/>
      <c r="H369" s="957"/>
      <c r="I369" s="996"/>
      <c r="J369" s="187"/>
      <c r="K369" s="1015"/>
      <c r="L369" s="188"/>
      <c r="M369" s="187"/>
      <c r="N369" s="189"/>
      <c r="O369" s="189"/>
      <c r="P369" s="997"/>
      <c r="Q369" s="188"/>
      <c r="R369" s="998"/>
      <c r="S369" s="188"/>
      <c r="T369" s="999"/>
      <c r="U369" s="996"/>
      <c r="V369" s="174"/>
      <c r="W369" s="175"/>
      <c r="X369" s="175"/>
      <c r="Y369" s="175"/>
      <c r="Z369" s="175"/>
      <c r="AA369" s="175"/>
    </row>
    <row r="370" spans="1:27" s="40" customFormat="1" hidden="1">
      <c r="A370" s="1106"/>
      <c r="B370" s="239"/>
      <c r="C370" s="1603"/>
      <c r="D370" s="2527" t="s">
        <v>257</v>
      </c>
      <c r="E370" s="2528"/>
      <c r="F370" s="2528"/>
      <c r="G370" s="2528"/>
      <c r="H370" s="2528"/>
      <c r="I370" s="2529"/>
      <c r="J370" s="2490">
        <f>VLOOKUP(A372,'11 - FINANCEIRA'!_xlnm.Print_Area,28,FALSE)</f>
        <v>1042.0999999999999</v>
      </c>
      <c r="K370" s="2491"/>
      <c r="L370" s="309" t="str">
        <f>VLOOKUP(A372,'11 - FINANCEIRA'!_xlnm.Print_Area,4,FALSE)</f>
        <v>m³</v>
      </c>
      <c r="M370" s="2556" t="s">
        <v>258</v>
      </c>
      <c r="N370" s="2557"/>
      <c r="O370" s="2557"/>
      <c r="P370" s="2557"/>
      <c r="Q370" s="2558"/>
      <c r="R370" s="248">
        <f>SUM(R363:R369)</f>
        <v>1042.0999999999999</v>
      </c>
      <c r="S370" s="310" t="str">
        <f>L370</f>
        <v>m³</v>
      </c>
      <c r="T370" s="321"/>
      <c r="U370" s="322"/>
      <c r="V370" s="174">
        <f t="shared" si="28"/>
        <v>0</v>
      </c>
    </row>
    <row r="371" spans="1:27" s="40" customFormat="1" hidden="1">
      <c r="A371" s="1106"/>
      <c r="B371" s="246"/>
      <c r="C371" s="247"/>
      <c r="D371" s="2521" t="s">
        <v>259</v>
      </c>
      <c r="E371" s="2522"/>
      <c r="F371" s="2522"/>
      <c r="G371" s="2522"/>
      <c r="H371" s="2522"/>
      <c r="I371" s="2523"/>
      <c r="J371" s="2515">
        <f>R370/J370</f>
        <v>1</v>
      </c>
      <c r="K371" s="2516"/>
      <c r="L371" s="2554"/>
      <c r="M371" s="2556" t="s">
        <v>260</v>
      </c>
      <c r="N371" s="2557"/>
      <c r="O371" s="2557"/>
      <c r="P371" s="2557"/>
      <c r="Q371" s="2558"/>
      <c r="R371" s="248">
        <f>VLOOKUP(A372,'11 - FINANCEIRA'!_xlnm.Print_Area,8,FALSE)</f>
        <v>1042.0999999999999</v>
      </c>
      <c r="S371" s="249" t="str">
        <f>L370</f>
        <v>m³</v>
      </c>
      <c r="T371" s="244"/>
      <c r="U371" s="245"/>
      <c r="V371" s="174">
        <f t="shared" si="28"/>
        <v>0</v>
      </c>
    </row>
    <row r="372" spans="1:27" s="40" customFormat="1" hidden="1">
      <c r="A372" s="1106" t="s">
        <v>30</v>
      </c>
      <c r="B372" s="246"/>
      <c r="C372" s="240"/>
      <c r="D372" s="2524"/>
      <c r="E372" s="2525"/>
      <c r="F372" s="2525"/>
      <c r="G372" s="2525"/>
      <c r="H372" s="2525"/>
      <c r="I372" s="2526"/>
      <c r="J372" s="2519"/>
      <c r="K372" s="2520"/>
      <c r="L372" s="2570"/>
      <c r="M372" s="2574" t="s">
        <v>261</v>
      </c>
      <c r="N372" s="2575"/>
      <c r="O372" s="2575"/>
      <c r="P372" s="2575"/>
      <c r="Q372" s="2576"/>
      <c r="R372" s="251">
        <f>R370-R371</f>
        <v>0</v>
      </c>
      <c r="S372" s="252" t="str">
        <f>L370</f>
        <v>m³</v>
      </c>
      <c r="T372" s="244"/>
      <c r="U372" s="245"/>
      <c r="V372" s="174">
        <f>R372</f>
        <v>0</v>
      </c>
    </row>
    <row r="373" spans="1:27" s="40" customFormat="1" hidden="1">
      <c r="A373" s="1106"/>
      <c r="B373" s="295"/>
      <c r="C373" s="254"/>
      <c r="D373" s="255"/>
      <c r="E373" s="256"/>
      <c r="F373" s="255"/>
      <c r="G373" s="255"/>
      <c r="H373" s="255"/>
      <c r="I373" s="255"/>
      <c r="J373" s="257"/>
      <c r="K373" s="258"/>
      <c r="L373" s="259"/>
      <c r="M373" s="260"/>
      <c r="N373" s="260"/>
      <c r="O373" s="260"/>
      <c r="P373" s="260"/>
      <c r="Q373" s="260"/>
      <c r="R373" s="261"/>
      <c r="S373" s="262"/>
      <c r="T373" s="263"/>
      <c r="U373" s="264"/>
      <c r="V373" s="265">
        <f>SUM(V361:V372)</f>
        <v>0</v>
      </c>
    </row>
    <row r="374" spans="1:27" s="176" customFormat="1" hidden="1">
      <c r="A374" s="1106"/>
      <c r="B374" s="2463">
        <f>VLOOKUP(A387,'11 - FINANCEIRA'!_xlnm.Print_Area,2,FALSE)</f>
        <v>5914336</v>
      </c>
      <c r="C374" s="2465" t="str">
        <f>VLOOKUP(A387,'11 - FINANCEIRA'!_xlnm.Print_Area,3,FALSE)</f>
        <v xml:space="preserve">Transporte com caminhão basculante de 12m³ - rodovia pavimentada </v>
      </c>
      <c r="D374" s="2472" t="s">
        <v>242</v>
      </c>
      <c r="E374" s="2473"/>
      <c r="F374" s="2473"/>
      <c r="G374" s="2473"/>
      <c r="H374" s="2473"/>
      <c r="I374" s="2474"/>
      <c r="J374" s="2467" t="s">
        <v>243</v>
      </c>
      <c r="K374" s="2467" t="s">
        <v>244</v>
      </c>
      <c r="L374" s="2467" t="s">
        <v>245</v>
      </c>
      <c r="M374" s="2467" t="s">
        <v>246</v>
      </c>
      <c r="N374" s="2467" t="s">
        <v>247</v>
      </c>
      <c r="O374" s="2467" t="s">
        <v>248</v>
      </c>
      <c r="P374" s="173" t="s">
        <v>249</v>
      </c>
      <c r="Q374" s="2467" t="s">
        <v>305</v>
      </c>
      <c r="R374" s="2579" t="s">
        <v>139</v>
      </c>
      <c r="S374" s="2467" t="s">
        <v>251</v>
      </c>
      <c r="T374" s="2467" t="s">
        <v>252</v>
      </c>
      <c r="U374" s="2584" t="s">
        <v>253</v>
      </c>
      <c r="V374" s="418">
        <f t="shared" ref="V374:V386" si="32">V375</f>
        <v>0</v>
      </c>
      <c r="W374" s="175"/>
      <c r="X374" s="175"/>
      <c r="Y374" s="175"/>
      <c r="Z374" s="175"/>
      <c r="AA374" s="175"/>
    </row>
    <row r="375" spans="1:27" s="176" customFormat="1" hidden="1">
      <c r="A375" s="1106"/>
      <c r="B375" s="2464" t="e">
        <f>LEFT(#REF!,5)</f>
        <v>#REF!</v>
      </c>
      <c r="C375" s="2466" t="e">
        <f>VLOOKUP(LEFT(#REF!,5),'11 - FINANCEIRA'!_xlnm.Print_Area,2,FALSE)</f>
        <v>#REF!</v>
      </c>
      <c r="D375" s="2475" t="s">
        <v>254</v>
      </c>
      <c r="E375" s="2476"/>
      <c r="F375" s="2477"/>
      <c r="G375" s="2469" t="s">
        <v>255</v>
      </c>
      <c r="H375" s="2470"/>
      <c r="I375" s="2471"/>
      <c r="J375" s="2468"/>
      <c r="K375" s="2468"/>
      <c r="L375" s="2468"/>
      <c r="M375" s="2468"/>
      <c r="N375" s="2468"/>
      <c r="O375" s="2468"/>
      <c r="P375" s="177" t="s">
        <v>256</v>
      </c>
      <c r="Q375" s="2468"/>
      <c r="R375" s="2580"/>
      <c r="S375" s="2468"/>
      <c r="T375" s="2468"/>
      <c r="U375" s="2585"/>
      <c r="V375" s="418">
        <f t="shared" si="32"/>
        <v>0</v>
      </c>
      <c r="W375" s="175"/>
      <c r="X375" s="175"/>
      <c r="Y375" s="175"/>
      <c r="Z375" s="175"/>
      <c r="AA375" s="175"/>
    </row>
    <row r="376" spans="1:27" s="176" customFormat="1" ht="30" hidden="1">
      <c r="A376" s="1110"/>
      <c r="B376" s="609"/>
      <c r="C376" s="547" t="s">
        <v>207</v>
      </c>
      <c r="D376" s="523"/>
      <c r="E376" s="524"/>
      <c r="F376" s="525"/>
      <c r="G376" s="526"/>
      <c r="H376" s="527"/>
      <c r="I376" s="528"/>
      <c r="J376" s="426"/>
      <c r="K376" s="426"/>
      <c r="L376" s="357"/>
      <c r="M376" s="566"/>
      <c r="N376" s="714"/>
      <c r="O376" s="1016"/>
      <c r="P376" s="357"/>
      <c r="Q376" s="566"/>
      <c r="R376" s="616">
        <v>46940.305999999997</v>
      </c>
      <c r="S376" s="357" t="s">
        <v>166</v>
      </c>
      <c r="T376" s="355">
        <v>12</v>
      </c>
      <c r="U376" s="428"/>
      <c r="V376" s="429"/>
      <c r="W376" s="175"/>
      <c r="X376" s="175"/>
      <c r="Y376" s="175"/>
      <c r="Z376" s="175"/>
      <c r="AA376" s="175"/>
    </row>
    <row r="377" spans="1:27" s="176" customFormat="1" ht="30" hidden="1">
      <c r="A377" s="1110"/>
      <c r="B377" s="296"/>
      <c r="C377" s="339" t="s">
        <v>207</v>
      </c>
      <c r="D377" s="623"/>
      <c r="E377" s="535"/>
      <c r="F377" s="625"/>
      <c r="G377" s="455"/>
      <c r="H377" s="456"/>
      <c r="I377" s="457"/>
      <c r="J377" s="509"/>
      <c r="K377" s="509"/>
      <c r="L377" s="340"/>
      <c r="M377" s="463"/>
      <c r="N377" s="464"/>
      <c r="O377" s="465">
        <v>2886.4389999999999</v>
      </c>
      <c r="P377" s="340"/>
      <c r="Q377" s="463">
        <v>19</v>
      </c>
      <c r="R377" s="462">
        <v>54842.341</v>
      </c>
      <c r="S377" s="340" t="s">
        <v>166</v>
      </c>
      <c r="T377" s="347">
        <v>20</v>
      </c>
      <c r="U377" s="468"/>
      <c r="V377" s="429"/>
      <c r="W377" s="175"/>
      <c r="X377" s="175"/>
      <c r="Y377" s="175"/>
      <c r="Z377" s="175"/>
      <c r="AA377" s="175"/>
    </row>
    <row r="378" spans="1:27" s="40" customFormat="1" ht="30" hidden="1">
      <c r="A378" s="1110"/>
      <c r="B378" s="1008"/>
      <c r="C378" s="339" t="s">
        <v>207</v>
      </c>
      <c r="D378" s="623"/>
      <c r="E378" s="535"/>
      <c r="F378" s="625"/>
      <c r="G378" s="455"/>
      <c r="H378" s="456"/>
      <c r="I378" s="457"/>
      <c r="J378" s="509"/>
      <c r="K378" s="509"/>
      <c r="L378" s="509"/>
      <c r="M378" s="534"/>
      <c r="N378" s="535"/>
      <c r="O378" s="465">
        <f>N971</f>
        <v>3061.8</v>
      </c>
      <c r="P378" s="509"/>
      <c r="Q378" s="534">
        <f>5.8</f>
        <v>5.8</v>
      </c>
      <c r="R378" s="537">
        <f>O378*Q378</f>
        <v>17758.440000000002</v>
      </c>
      <c r="S378" s="509" t="s">
        <v>166</v>
      </c>
      <c r="T378" s="539">
        <v>23</v>
      </c>
      <c r="U378" s="468" t="s">
        <v>943</v>
      </c>
      <c r="V378" s="829"/>
    </row>
    <row r="379" spans="1:27" s="40" customFormat="1" ht="30" hidden="1">
      <c r="A379" s="1110"/>
      <c r="B379" s="1008"/>
      <c r="C379" s="339" t="s">
        <v>207</v>
      </c>
      <c r="D379" s="623"/>
      <c r="E379" s="535"/>
      <c r="F379" s="625"/>
      <c r="G379" s="455"/>
      <c r="H379" s="456"/>
      <c r="I379" s="457"/>
      <c r="J379" s="509"/>
      <c r="K379" s="509"/>
      <c r="L379" s="509"/>
      <c r="M379" s="534"/>
      <c r="N379" s="535"/>
      <c r="O379" s="465">
        <f>N972</f>
        <v>2205.59</v>
      </c>
      <c r="P379" s="509"/>
      <c r="Q379" s="534">
        <f>5.8</f>
        <v>5.8</v>
      </c>
      <c r="R379" s="537">
        <f>O379*Q379</f>
        <v>12792.422</v>
      </c>
      <c r="S379" s="509" t="s">
        <v>166</v>
      </c>
      <c r="T379" s="539">
        <v>25</v>
      </c>
      <c r="U379" s="468" t="s">
        <v>943</v>
      </c>
      <c r="V379" s="829"/>
    </row>
    <row r="380" spans="1:27" s="40" customFormat="1" ht="30" hidden="1">
      <c r="A380" s="1110"/>
      <c r="B380" s="1008"/>
      <c r="C380" s="339" t="s">
        <v>207</v>
      </c>
      <c r="D380" s="623"/>
      <c r="E380" s="535"/>
      <c r="F380" s="625"/>
      <c r="G380" s="455"/>
      <c r="H380" s="456"/>
      <c r="I380" s="457"/>
      <c r="J380" s="509"/>
      <c r="K380" s="509"/>
      <c r="L380" s="509"/>
      <c r="M380" s="534"/>
      <c r="N380" s="535"/>
      <c r="O380" s="465">
        <f>SUM(N973:N974)</f>
        <v>3704.66</v>
      </c>
      <c r="P380" s="509"/>
      <c r="Q380" s="534">
        <f>5.8</f>
        <v>5.8</v>
      </c>
      <c r="R380" s="537">
        <f>O380*Q380</f>
        <v>21487.027999999998</v>
      </c>
      <c r="S380" s="509" t="s">
        <v>166</v>
      </c>
      <c r="T380" s="539">
        <v>26</v>
      </c>
      <c r="U380" s="468" t="s">
        <v>943</v>
      </c>
      <c r="V380" s="829"/>
    </row>
    <row r="381" spans="1:27" s="40" customFormat="1" ht="30" hidden="1">
      <c r="A381" s="1110"/>
      <c r="B381" s="1008"/>
      <c r="C381" s="339" t="s">
        <v>207</v>
      </c>
      <c r="D381" s="623"/>
      <c r="E381" s="535"/>
      <c r="F381" s="625"/>
      <c r="G381" s="455"/>
      <c r="H381" s="456"/>
      <c r="I381" s="457"/>
      <c r="J381" s="509"/>
      <c r="K381" s="509"/>
      <c r="L381" s="509"/>
      <c r="M381" s="534"/>
      <c r="N381" s="535"/>
      <c r="O381" s="465">
        <f>SUM(N975)</f>
        <v>873.18</v>
      </c>
      <c r="P381" s="509"/>
      <c r="Q381" s="534">
        <f>5.8</f>
        <v>5.8</v>
      </c>
      <c r="R381" s="537">
        <f>O381*Q381</f>
        <v>5064.4439999999995</v>
      </c>
      <c r="S381" s="509" t="s">
        <v>166</v>
      </c>
      <c r="T381" s="539">
        <v>27</v>
      </c>
      <c r="U381" s="468" t="s">
        <v>943</v>
      </c>
      <c r="V381" s="829"/>
    </row>
    <row r="382" spans="1:27" s="40" customFormat="1" ht="30" hidden="1">
      <c r="A382" s="1110"/>
      <c r="B382" s="1008"/>
      <c r="C382" s="339" t="s">
        <v>207</v>
      </c>
      <c r="D382" s="623"/>
      <c r="E382" s="535"/>
      <c r="F382" s="625"/>
      <c r="G382" s="455"/>
      <c r="H382" s="456"/>
      <c r="I382" s="457"/>
      <c r="J382" s="509"/>
      <c r="K382" s="509"/>
      <c r="L382" s="509"/>
      <c r="M382" s="534"/>
      <c r="N382" s="535"/>
      <c r="O382" s="465">
        <f t="shared" ref="O382:O383" si="33">SUM(N976)</f>
        <v>552.86</v>
      </c>
      <c r="P382" s="509"/>
      <c r="Q382" s="534">
        <f t="shared" ref="Q382:Q383" si="34">5.8</f>
        <v>5.8</v>
      </c>
      <c r="R382" s="537">
        <f t="shared" ref="R382:R383" si="35">O382*Q382</f>
        <v>3206.5880000000002</v>
      </c>
      <c r="S382" s="509" t="s">
        <v>166</v>
      </c>
      <c r="T382" s="539">
        <v>27</v>
      </c>
      <c r="U382" s="468" t="s">
        <v>943</v>
      </c>
      <c r="V382" s="829"/>
    </row>
    <row r="383" spans="1:27" s="40" customFormat="1" ht="30" hidden="1">
      <c r="A383" s="1110"/>
      <c r="B383" s="1008"/>
      <c r="C383" s="339" t="s">
        <v>207</v>
      </c>
      <c r="D383" s="623"/>
      <c r="E383" s="535"/>
      <c r="F383" s="625"/>
      <c r="G383" s="455"/>
      <c r="H383" s="456"/>
      <c r="I383" s="457"/>
      <c r="J383" s="509"/>
      <c r="K383" s="509"/>
      <c r="L383" s="509"/>
      <c r="M383" s="534"/>
      <c r="N383" s="535"/>
      <c r="O383" s="465">
        <f t="shared" si="33"/>
        <v>264.60000000000002</v>
      </c>
      <c r="P383" s="509"/>
      <c r="Q383" s="534">
        <f t="shared" si="34"/>
        <v>5.8</v>
      </c>
      <c r="R383" s="537">
        <f t="shared" si="35"/>
        <v>1534.68</v>
      </c>
      <c r="S383" s="509" t="s">
        <v>166</v>
      </c>
      <c r="T383" s="539">
        <v>27</v>
      </c>
      <c r="U383" s="468" t="s">
        <v>943</v>
      </c>
      <c r="V383" s="829"/>
    </row>
    <row r="384" spans="1:27" s="40" customFormat="1" hidden="1">
      <c r="A384" s="1110"/>
      <c r="B384" s="1394"/>
      <c r="C384" s="1018"/>
      <c r="D384" s="1173"/>
      <c r="E384" s="1027"/>
      <c r="F384" s="1218"/>
      <c r="G384" s="1395"/>
      <c r="H384" s="1396"/>
      <c r="I384" s="1397"/>
      <c r="J384" s="1398"/>
      <c r="K384" s="1366"/>
      <c r="L384" s="1366"/>
      <c r="M384" s="1027"/>
      <c r="N384" s="1027"/>
      <c r="O384" s="1464"/>
      <c r="P384" s="1027"/>
      <c r="Q384" s="1366"/>
      <c r="R384" s="1399"/>
      <c r="S384" s="1366"/>
      <c r="T384" s="1627"/>
      <c r="U384" s="1465"/>
      <c r="V384" s="829"/>
    </row>
    <row r="385" spans="1:27" s="40" customFormat="1" hidden="1">
      <c r="A385" s="1106"/>
      <c r="B385" s="239"/>
      <c r="C385" s="1603"/>
      <c r="D385" s="2527" t="s">
        <v>257</v>
      </c>
      <c r="E385" s="2528"/>
      <c r="F385" s="2528"/>
      <c r="G385" s="2528"/>
      <c r="H385" s="2528"/>
      <c r="I385" s="2529"/>
      <c r="J385" s="2490">
        <f>VLOOKUP(A387,'11 - FINANCEIRA'!$A$16:$AE$156,30,FALSE)</f>
        <v>196806.69</v>
      </c>
      <c r="K385" s="2491"/>
      <c r="L385" s="309" t="str">
        <f>VLOOKUP(A387,'11 - FINANCEIRA'!_xlnm.Print_Area,4,FALSE)</f>
        <v>tkm</v>
      </c>
      <c r="M385" s="2556" t="s">
        <v>258</v>
      </c>
      <c r="N385" s="2557"/>
      <c r="O385" s="2557"/>
      <c r="P385" s="2557"/>
      <c r="Q385" s="2558"/>
      <c r="R385" s="248">
        <f>SUM(R376:R384)</f>
        <v>163626.24899999995</v>
      </c>
      <c r="S385" s="310" t="str">
        <f>L385</f>
        <v>tkm</v>
      </c>
      <c r="T385" s="786"/>
      <c r="U385" s="322"/>
      <c r="V385" s="418">
        <f t="shared" si="32"/>
        <v>0</v>
      </c>
    </row>
    <row r="386" spans="1:27" s="40" customFormat="1" hidden="1">
      <c r="A386" s="1106"/>
      <c r="B386" s="246"/>
      <c r="C386" s="247"/>
      <c r="D386" s="2521" t="s">
        <v>259</v>
      </c>
      <c r="E386" s="2522"/>
      <c r="F386" s="2522"/>
      <c r="G386" s="2522"/>
      <c r="H386" s="2522"/>
      <c r="I386" s="2523"/>
      <c r="J386" s="2515">
        <f>R385/J385</f>
        <v>0.83140592934112123</v>
      </c>
      <c r="K386" s="2516"/>
      <c r="L386" s="2554"/>
      <c r="M386" s="2556" t="s">
        <v>260</v>
      </c>
      <c r="N386" s="2557"/>
      <c r="O386" s="2557"/>
      <c r="P386" s="2557"/>
      <c r="Q386" s="2558"/>
      <c r="R386" s="248">
        <f>VLOOKUP(A387,'11 - FINANCEIRA'!_xlnm.Print_Area,8,FALSE)</f>
        <v>163626.24899999995</v>
      </c>
      <c r="S386" s="249" t="str">
        <f>L385</f>
        <v>tkm</v>
      </c>
      <c r="T386" s="787"/>
      <c r="U386" s="245"/>
      <c r="V386" s="418">
        <f t="shared" si="32"/>
        <v>0</v>
      </c>
    </row>
    <row r="387" spans="1:27" s="40" customFormat="1" hidden="1">
      <c r="A387" s="1106" t="s">
        <v>31</v>
      </c>
      <c r="B387" s="246"/>
      <c r="C387" s="240"/>
      <c r="D387" s="2524"/>
      <c r="E387" s="2525"/>
      <c r="F387" s="2525"/>
      <c r="G387" s="2525"/>
      <c r="H387" s="2525"/>
      <c r="I387" s="2526"/>
      <c r="J387" s="2519"/>
      <c r="K387" s="2520"/>
      <c r="L387" s="2570"/>
      <c r="M387" s="2574" t="s">
        <v>261</v>
      </c>
      <c r="N387" s="2575"/>
      <c r="O387" s="2575"/>
      <c r="P387" s="2575"/>
      <c r="Q387" s="2576"/>
      <c r="R387" s="251">
        <f>R385-R386</f>
        <v>0</v>
      </c>
      <c r="S387" s="252" t="str">
        <f>L385</f>
        <v>tkm</v>
      </c>
      <c r="T387" s="788"/>
      <c r="U387" s="245"/>
      <c r="V387" s="418">
        <f>R387</f>
        <v>0</v>
      </c>
    </row>
    <row r="388" spans="1:27" s="40" customFormat="1" hidden="1">
      <c r="A388" s="1106"/>
      <c r="B388" s="311"/>
      <c r="C388" s="312"/>
      <c r="D388" s="313"/>
      <c r="E388" s="314"/>
      <c r="F388" s="313"/>
      <c r="G388" s="313"/>
      <c r="H388" s="313"/>
      <c r="I388" s="313"/>
      <c r="J388" s="315"/>
      <c r="K388" s="316"/>
      <c r="L388" s="317"/>
      <c r="M388" s="318"/>
      <c r="N388" s="318"/>
      <c r="O388" s="318"/>
      <c r="P388" s="318"/>
      <c r="Q388" s="318"/>
      <c r="R388" s="319"/>
      <c r="S388" s="320"/>
      <c r="T388" s="321"/>
      <c r="U388" s="322"/>
      <c r="V388" s="418">
        <f>SUM(V374:V387)</f>
        <v>0</v>
      </c>
    </row>
    <row r="389" spans="1:27" s="176" customFormat="1">
      <c r="A389" s="1106"/>
      <c r="B389" s="2463">
        <f>VLOOKUP(A398,'11 - FINANCEIRA'!_xlnm.Print_Area,2,FALSE)</f>
        <v>645387</v>
      </c>
      <c r="C389" s="2465" t="str">
        <f>VLOOKUP(A398,'11 - FINANCEIRA'!_xlnm.Print_Area,3,FALSE)</f>
        <v>Destinação Final de Resíduos Classe II A em aterro sanitário controlado - BDI = 14,02</v>
      </c>
      <c r="D389" s="2472" t="s">
        <v>242</v>
      </c>
      <c r="E389" s="2473"/>
      <c r="F389" s="2473"/>
      <c r="G389" s="2473"/>
      <c r="H389" s="2473"/>
      <c r="I389" s="2474"/>
      <c r="J389" s="2467" t="s">
        <v>243</v>
      </c>
      <c r="K389" s="2467" t="s">
        <v>244</v>
      </c>
      <c r="L389" s="2467" t="s">
        <v>245</v>
      </c>
      <c r="M389" s="2467" t="s">
        <v>246</v>
      </c>
      <c r="N389" s="2467" t="s">
        <v>247</v>
      </c>
      <c r="O389" s="2467" t="s">
        <v>248</v>
      </c>
      <c r="P389" s="173" t="s">
        <v>249</v>
      </c>
      <c r="Q389" s="2467" t="s">
        <v>250</v>
      </c>
      <c r="R389" s="2579" t="s">
        <v>139</v>
      </c>
      <c r="S389" s="2467" t="s">
        <v>251</v>
      </c>
      <c r="T389" s="2467" t="s">
        <v>252</v>
      </c>
      <c r="U389" s="2584" t="s">
        <v>253</v>
      </c>
      <c r="V389" s="174">
        <f t="shared" ref="V389:V397" si="36">V390</f>
        <v>4587.5500000000011</v>
      </c>
      <c r="W389" s="175"/>
      <c r="X389" s="175"/>
      <c r="Y389" s="175"/>
      <c r="Z389" s="175"/>
      <c r="AA389" s="175"/>
    </row>
    <row r="390" spans="1:27" s="176" customFormat="1">
      <c r="A390" s="1106"/>
      <c r="B390" s="2464" t="e">
        <f>LEFT(#REF!,5)</f>
        <v>#REF!</v>
      </c>
      <c r="C390" s="2466" t="e">
        <f>VLOOKUP(LEFT(#REF!,5),'11 - FINANCEIRA'!_xlnm.Print_Area,2,FALSE)</f>
        <v>#REF!</v>
      </c>
      <c r="D390" s="2475" t="s">
        <v>254</v>
      </c>
      <c r="E390" s="2476"/>
      <c r="F390" s="2477"/>
      <c r="G390" s="2469" t="s">
        <v>255</v>
      </c>
      <c r="H390" s="2470"/>
      <c r="I390" s="2471"/>
      <c r="J390" s="2468"/>
      <c r="K390" s="2468"/>
      <c r="L390" s="2468"/>
      <c r="M390" s="2468"/>
      <c r="N390" s="2468"/>
      <c r="O390" s="2468"/>
      <c r="P390" s="177" t="s">
        <v>256</v>
      </c>
      <c r="Q390" s="2468"/>
      <c r="R390" s="2580"/>
      <c r="S390" s="2468"/>
      <c r="T390" s="2468"/>
      <c r="U390" s="2585"/>
      <c r="V390" s="174">
        <f t="shared" si="36"/>
        <v>4587.5500000000011</v>
      </c>
      <c r="W390" s="175"/>
      <c r="X390" s="175"/>
      <c r="Y390" s="175"/>
      <c r="Z390" s="175"/>
      <c r="AA390" s="175"/>
    </row>
    <row r="391" spans="1:27" s="176" customFormat="1" ht="30">
      <c r="A391" s="1110"/>
      <c r="B391" s="336"/>
      <c r="C391" s="337" t="s">
        <v>514</v>
      </c>
      <c r="D391" s="878"/>
      <c r="E391" s="444"/>
      <c r="F391" s="879"/>
      <c r="G391" s="880"/>
      <c r="H391" s="447"/>
      <c r="I391" s="881"/>
      <c r="J391" s="411"/>
      <c r="K391" s="411"/>
      <c r="L391" s="411"/>
      <c r="M391" s="411"/>
      <c r="N391" s="411"/>
      <c r="O391" s="411"/>
      <c r="P391" s="449"/>
      <c r="Q391" s="411"/>
      <c r="R391" s="450">
        <v>144.38</v>
      </c>
      <c r="S391" s="411"/>
      <c r="T391" s="355">
        <v>12</v>
      </c>
      <c r="U391" s="1555"/>
      <c r="V391" s="306">
        <f t="shared" si="36"/>
        <v>4587.5500000000011</v>
      </c>
      <c r="W391" s="175"/>
      <c r="X391" s="175"/>
      <c r="Y391" s="175"/>
      <c r="Z391" s="175"/>
      <c r="AA391" s="175"/>
    </row>
    <row r="392" spans="1:27" s="176" customFormat="1">
      <c r="A392" s="1110"/>
      <c r="B392" s="296"/>
      <c r="C392" s="339" t="s">
        <v>742</v>
      </c>
      <c r="D392" s="560"/>
      <c r="E392" s="464"/>
      <c r="F392" s="463"/>
      <c r="G392" s="458"/>
      <c r="H392" s="459"/>
      <c r="I392" s="460"/>
      <c r="J392" s="340"/>
      <c r="K392" s="560"/>
      <c r="L392" s="340"/>
      <c r="M392" s="463"/>
      <c r="N392" s="464"/>
      <c r="O392" s="560"/>
      <c r="P392" s="461"/>
      <c r="Q392" s="463"/>
      <c r="R392" s="462">
        <f>O377</f>
        <v>2886.4389999999999</v>
      </c>
      <c r="S392" s="340" t="s">
        <v>168</v>
      </c>
      <c r="T392" s="347">
        <v>20</v>
      </c>
      <c r="U392" s="341" t="s">
        <v>743</v>
      </c>
      <c r="V392" s="306">
        <f>V394</f>
        <v>4587.5500000000011</v>
      </c>
      <c r="W392" s="175"/>
      <c r="X392" s="175"/>
      <c r="Y392" s="175"/>
      <c r="Z392" s="175"/>
      <c r="AA392" s="175"/>
    </row>
    <row r="393" spans="1:27" s="176" customFormat="1">
      <c r="A393" s="1110"/>
      <c r="B393" s="1490"/>
      <c r="C393" s="1491" t="s">
        <v>742</v>
      </c>
      <c r="D393" s="2194"/>
      <c r="E393" s="2195"/>
      <c r="F393" s="2196"/>
      <c r="G393" s="2197"/>
      <c r="H393" s="2198"/>
      <c r="I393" s="2199"/>
      <c r="J393" s="1493"/>
      <c r="K393" s="2194"/>
      <c r="L393" s="1493"/>
      <c r="M393" s="2196"/>
      <c r="N393" s="2195"/>
      <c r="O393" s="2194"/>
      <c r="P393" s="1495"/>
      <c r="Q393" s="2196"/>
      <c r="R393" s="1496">
        <v>4587.55</v>
      </c>
      <c r="S393" s="2194" t="s">
        <v>168</v>
      </c>
      <c r="T393" s="1497">
        <v>28</v>
      </c>
      <c r="U393" s="2200"/>
      <c r="V393" s="306"/>
      <c r="W393" s="175"/>
      <c r="X393" s="175"/>
      <c r="Y393" s="175"/>
      <c r="Z393" s="175"/>
      <c r="AA393" s="175"/>
    </row>
    <row r="394" spans="1:27" s="222" customFormat="1" hidden="1">
      <c r="A394" s="1105"/>
      <c r="B394" s="2052"/>
      <c r="C394" s="1304"/>
      <c r="D394" s="2053"/>
      <c r="E394" s="2054"/>
      <c r="F394" s="2055"/>
      <c r="G394" s="2053"/>
      <c r="H394" s="2054"/>
      <c r="I394" s="2055"/>
      <c r="J394" s="2025"/>
      <c r="K394" s="2057"/>
      <c r="L394" s="2057"/>
      <c r="M394" s="2057"/>
      <c r="N394" s="2057"/>
      <c r="O394" s="2061"/>
      <c r="P394" s="2057"/>
      <c r="Q394" s="2061"/>
      <c r="R394" s="2060"/>
      <c r="S394" s="2058"/>
      <c r="T394" s="2028"/>
      <c r="U394" s="2021"/>
      <c r="V394" s="174">
        <f t="shared" si="36"/>
        <v>4587.5500000000011</v>
      </c>
    </row>
    <row r="395" spans="1:27" s="222" customFormat="1">
      <c r="A395" s="1106"/>
      <c r="B395" s="1700"/>
      <c r="C395" s="2201"/>
      <c r="D395" s="2202"/>
      <c r="E395" s="2203"/>
      <c r="F395" s="2204"/>
      <c r="G395" s="2202"/>
      <c r="H395" s="2203"/>
      <c r="I395" s="2204"/>
      <c r="J395" s="2205"/>
      <c r="K395" s="2206"/>
      <c r="L395" s="2206"/>
      <c r="M395" s="2206"/>
      <c r="N395" s="2206"/>
      <c r="O395" s="2207"/>
      <c r="P395" s="2206"/>
      <c r="Q395" s="2207"/>
      <c r="R395" s="2208"/>
      <c r="S395" s="2207"/>
      <c r="T395" s="2209"/>
      <c r="U395" s="2210"/>
      <c r="V395" s="174">
        <f t="shared" si="36"/>
        <v>4587.5500000000011</v>
      </c>
    </row>
    <row r="396" spans="1:27" s="40" customFormat="1">
      <c r="A396" s="1106"/>
      <c r="B396" s="1700"/>
      <c r="C396" s="1701"/>
      <c r="D396" s="2527" t="s">
        <v>257</v>
      </c>
      <c r="E396" s="2528"/>
      <c r="F396" s="2528"/>
      <c r="G396" s="2528"/>
      <c r="H396" s="2528"/>
      <c r="I396" s="2529"/>
      <c r="J396" s="2488">
        <f>VLOOKUP(A398,'11 - FINANCEIRA'!_xlnm.Print_Area,30,FALSE)</f>
        <v>10745.04</v>
      </c>
      <c r="K396" s="2489"/>
      <c r="L396" s="309" t="str">
        <f>VLOOKUP(A398,'11 - FINANCEIRA'!_xlnm.Print_Area,4,FALSE)</f>
        <v>T</v>
      </c>
      <c r="M396" s="2556" t="s">
        <v>258</v>
      </c>
      <c r="N396" s="2557"/>
      <c r="O396" s="2557"/>
      <c r="P396" s="2557"/>
      <c r="Q396" s="2558"/>
      <c r="R396" s="248">
        <f>SUM(R391:R395)</f>
        <v>7618.3690000000006</v>
      </c>
      <c r="S396" s="310"/>
      <c r="T396" s="786"/>
      <c r="U396" s="1124"/>
      <c r="V396" s="174">
        <f t="shared" si="36"/>
        <v>4587.5500000000011</v>
      </c>
    </row>
    <row r="397" spans="1:27" s="40" customFormat="1">
      <c r="A397" s="1106"/>
      <c r="B397" s="239"/>
      <c r="C397" s="2182"/>
      <c r="D397" s="2521" t="s">
        <v>259</v>
      </c>
      <c r="E397" s="2522"/>
      <c r="F397" s="2522"/>
      <c r="G397" s="2522"/>
      <c r="H397" s="2522"/>
      <c r="I397" s="2523"/>
      <c r="J397" s="2515">
        <f>R396/J396</f>
        <v>0.70901262349884231</v>
      </c>
      <c r="K397" s="2516"/>
      <c r="L397" s="2554"/>
      <c r="M397" s="2556" t="s">
        <v>260</v>
      </c>
      <c r="N397" s="2557"/>
      <c r="O397" s="2557"/>
      <c r="P397" s="2557"/>
      <c r="Q397" s="2558"/>
      <c r="R397" s="248">
        <f>VLOOKUP(A398,'11 - FINANCEIRA'!_xlnm.Print_Area,8,FALSE)</f>
        <v>3030.819</v>
      </c>
      <c r="S397" s="249"/>
      <c r="T397" s="787"/>
      <c r="U397" s="1124"/>
      <c r="V397" s="174">
        <f t="shared" si="36"/>
        <v>4587.5500000000011</v>
      </c>
    </row>
    <row r="398" spans="1:27" s="40" customFormat="1">
      <c r="A398" s="1106" t="s">
        <v>32</v>
      </c>
      <c r="B398" s="250"/>
      <c r="C398" s="598"/>
      <c r="D398" s="2539"/>
      <c r="E398" s="2540"/>
      <c r="F398" s="2540"/>
      <c r="G398" s="2540"/>
      <c r="H398" s="2540"/>
      <c r="I398" s="2541"/>
      <c r="J398" s="2517"/>
      <c r="K398" s="2518"/>
      <c r="L398" s="2555"/>
      <c r="M398" s="2556" t="s">
        <v>261</v>
      </c>
      <c r="N398" s="2557"/>
      <c r="O398" s="2557"/>
      <c r="P398" s="2557"/>
      <c r="Q398" s="2558"/>
      <c r="R398" s="248">
        <f>R396-R397</f>
        <v>4587.5500000000011</v>
      </c>
      <c r="S398" s="249" t="str">
        <f>L396</f>
        <v>T</v>
      </c>
      <c r="T398" s="788"/>
      <c r="U398" s="563"/>
      <c r="V398" s="174">
        <f>R398</f>
        <v>4587.5500000000011</v>
      </c>
    </row>
    <row r="399" spans="1:27" s="40" customFormat="1" hidden="1">
      <c r="A399" s="1106"/>
      <c r="B399" s="2087"/>
      <c r="C399" s="2088"/>
      <c r="D399" s="2089"/>
      <c r="E399" s="2090"/>
      <c r="F399" s="2089"/>
      <c r="G399" s="2089"/>
      <c r="H399" s="2089"/>
      <c r="I399" s="2089"/>
      <c r="J399" s="2091"/>
      <c r="K399" s="2092"/>
      <c r="L399" s="2093"/>
      <c r="M399" s="2094"/>
      <c r="N399" s="2094"/>
      <c r="O399" s="2094"/>
      <c r="P399" s="2094"/>
      <c r="Q399" s="2094"/>
      <c r="R399" s="2095"/>
      <c r="S399" s="2096"/>
      <c r="T399" s="244"/>
      <c r="U399" s="1124"/>
      <c r="V399" s="265">
        <f>SUM(V389:V398)</f>
        <v>41287.950000000019</v>
      </c>
    </row>
    <row r="400" spans="1:27" s="176" customFormat="1" ht="20.25" customHeight="1">
      <c r="A400" s="1106"/>
      <c r="B400" s="2463">
        <f>VLOOKUP(A414,'11 - FINANCEIRA'!_xlnm.Print_Area,2,FALSE)</f>
        <v>60024</v>
      </c>
      <c r="C400" s="2465" t="str">
        <f>VLOOKUP(A414,'11 - FINANCEIRA'!_xlnm.Print_Area,3,FALSE)</f>
        <v>Transporte de materiais para DMT acima de 15 KM (Caminhão basculante) - Saibreiranull - DMT = 1,30</v>
      </c>
      <c r="D400" s="2472" t="s">
        <v>242</v>
      </c>
      <c r="E400" s="2473"/>
      <c r="F400" s="2473"/>
      <c r="G400" s="2473"/>
      <c r="H400" s="2473"/>
      <c r="I400" s="2474"/>
      <c r="J400" s="2467" t="s">
        <v>243</v>
      </c>
      <c r="K400" s="2467" t="s">
        <v>244</v>
      </c>
      <c r="L400" s="2467" t="s">
        <v>245</v>
      </c>
      <c r="M400" s="2467" t="s">
        <v>246</v>
      </c>
      <c r="N400" s="2467" t="s">
        <v>247</v>
      </c>
      <c r="O400" s="2467" t="s">
        <v>248</v>
      </c>
      <c r="P400" s="173" t="s">
        <v>249</v>
      </c>
      <c r="Q400" s="2467" t="s">
        <v>250</v>
      </c>
      <c r="R400" s="2579" t="s">
        <v>139</v>
      </c>
      <c r="S400" s="2467" t="s">
        <v>251</v>
      </c>
      <c r="T400" s="2467" t="s">
        <v>252</v>
      </c>
      <c r="U400" s="2584" t="s">
        <v>253</v>
      </c>
      <c r="V400" s="174">
        <f>V401</f>
        <v>4771.0519999999997</v>
      </c>
      <c r="W400" s="175"/>
      <c r="X400" s="175"/>
      <c r="Y400" s="175"/>
      <c r="Z400" s="175"/>
      <c r="AA400" s="175"/>
    </row>
    <row r="401" spans="1:27" s="176" customFormat="1">
      <c r="A401" s="1106"/>
      <c r="B401" s="2624" t="e">
        <f>LEFT(#REF!,5)</f>
        <v>#REF!</v>
      </c>
      <c r="C401" s="2643" t="e">
        <f>VLOOKUP(LEFT(#REF!,5),'11 - FINANCEIRA'!_xlnm.Print_Area,2,FALSE)</f>
        <v>#REF!</v>
      </c>
      <c r="D401" s="2634" t="s">
        <v>254</v>
      </c>
      <c r="E401" s="2635"/>
      <c r="F401" s="2636"/>
      <c r="G401" s="2637" t="s">
        <v>255</v>
      </c>
      <c r="H401" s="2638"/>
      <c r="I401" s="2639"/>
      <c r="J401" s="2532"/>
      <c r="K401" s="2532"/>
      <c r="L401" s="2532"/>
      <c r="M401" s="2532"/>
      <c r="N401" s="2532"/>
      <c r="O401" s="2532"/>
      <c r="P401" s="2211" t="s">
        <v>256</v>
      </c>
      <c r="Q401" s="2532"/>
      <c r="R401" s="2623"/>
      <c r="S401" s="2532"/>
      <c r="T401" s="2532"/>
      <c r="U401" s="2622"/>
      <c r="V401" s="174">
        <f>V402</f>
        <v>4771.0519999999997</v>
      </c>
      <c r="W401" s="175"/>
      <c r="X401" s="175"/>
      <c r="Y401" s="175"/>
      <c r="Z401" s="175"/>
      <c r="AA401" s="175"/>
    </row>
    <row r="402" spans="1:27" s="176" customFormat="1">
      <c r="A402" s="1110"/>
      <c r="B402" s="296"/>
      <c r="C402" s="339" t="str">
        <f>C363</f>
        <v>Ensecadeiras- Canal Aribiri</v>
      </c>
      <c r="D402" s="496">
        <f>D363</f>
        <v>9</v>
      </c>
      <c r="E402" s="606" t="s">
        <v>299</v>
      </c>
      <c r="F402" s="498">
        <f>F363</f>
        <v>7</v>
      </c>
      <c r="G402" s="496">
        <f>G363</f>
        <v>9</v>
      </c>
      <c r="H402" s="606" t="s">
        <v>299</v>
      </c>
      <c r="I402" s="498">
        <f t="shared" ref="I402:O403" si="37">I363</f>
        <v>13</v>
      </c>
      <c r="J402" s="496">
        <f t="shared" si="37"/>
        <v>0</v>
      </c>
      <c r="K402" s="496">
        <f t="shared" si="37"/>
        <v>6</v>
      </c>
      <c r="L402" s="496">
        <f t="shared" si="37"/>
        <v>9.8000000000000007</v>
      </c>
      <c r="M402" s="496">
        <f t="shared" si="37"/>
        <v>3</v>
      </c>
      <c r="N402" s="496">
        <f t="shared" si="37"/>
        <v>0</v>
      </c>
      <c r="O402" s="496">
        <f t="shared" si="37"/>
        <v>176.4</v>
      </c>
      <c r="P402" s="461">
        <v>1.6</v>
      </c>
      <c r="Q402" s="340"/>
      <c r="R402" s="462">
        <f>O402*P402</f>
        <v>282.24</v>
      </c>
      <c r="S402" s="340" t="s">
        <v>168</v>
      </c>
      <c r="T402" s="347">
        <v>15</v>
      </c>
      <c r="U402" s="408" t="s">
        <v>626</v>
      </c>
      <c r="V402" s="306">
        <f>V403</f>
        <v>4771.0519999999997</v>
      </c>
      <c r="W402" s="175"/>
      <c r="X402" s="175"/>
      <c r="Y402" s="175"/>
      <c r="Z402" s="175"/>
      <c r="AA402" s="175"/>
    </row>
    <row r="403" spans="1:27" s="176" customFormat="1">
      <c r="A403" s="1110"/>
      <c r="B403" s="296"/>
      <c r="C403" s="339" t="str">
        <f>C364</f>
        <v>Ensecadeiras- Canal Aribiri</v>
      </c>
      <c r="D403" s="496">
        <f>D364</f>
        <v>11</v>
      </c>
      <c r="E403" s="606" t="s">
        <v>299</v>
      </c>
      <c r="F403" s="498">
        <f>F364</f>
        <v>7</v>
      </c>
      <c r="G403" s="496">
        <f>G364</f>
        <v>11</v>
      </c>
      <c r="H403" s="606" t="s">
        <v>299</v>
      </c>
      <c r="I403" s="498">
        <f t="shared" si="37"/>
        <v>13</v>
      </c>
      <c r="J403" s="496">
        <f t="shared" si="37"/>
        <v>0</v>
      </c>
      <c r="K403" s="496">
        <f t="shared" si="37"/>
        <v>6</v>
      </c>
      <c r="L403" s="496">
        <f t="shared" si="37"/>
        <v>9.8000000000000007</v>
      </c>
      <c r="M403" s="496">
        <f t="shared" si="37"/>
        <v>3</v>
      </c>
      <c r="N403" s="496">
        <f t="shared" si="37"/>
        <v>0</v>
      </c>
      <c r="O403" s="496">
        <f t="shared" si="37"/>
        <v>176.4</v>
      </c>
      <c r="P403" s="461">
        <v>1.6</v>
      </c>
      <c r="Q403" s="340"/>
      <c r="R403" s="462">
        <f>O403*P403</f>
        <v>282.24</v>
      </c>
      <c r="S403" s="340" t="s">
        <v>168</v>
      </c>
      <c r="T403" s="347">
        <v>15</v>
      </c>
      <c r="U403" s="408" t="s">
        <v>626</v>
      </c>
      <c r="V403" s="306">
        <f>V405</f>
        <v>4771.0519999999997</v>
      </c>
      <c r="W403" s="175"/>
      <c r="X403" s="175"/>
      <c r="Y403" s="175"/>
      <c r="Z403" s="175"/>
      <c r="AA403" s="175"/>
    </row>
    <row r="404" spans="1:27" s="176" customFormat="1">
      <c r="A404" s="1110"/>
      <c r="B404" s="296"/>
      <c r="C404" s="339" t="s">
        <v>703</v>
      </c>
      <c r="D404" s="560">
        <v>9</v>
      </c>
      <c r="E404" s="464" t="s">
        <v>299</v>
      </c>
      <c r="F404" s="463">
        <v>0</v>
      </c>
      <c r="G404" s="458">
        <v>9</v>
      </c>
      <c r="H404" s="459" t="s">
        <v>299</v>
      </c>
      <c r="I404" s="460">
        <v>10</v>
      </c>
      <c r="J404" s="340"/>
      <c r="K404" s="434">
        <f>(G404-D404)*20+I404-F404</f>
        <v>10</v>
      </c>
      <c r="L404" s="340">
        <v>6</v>
      </c>
      <c r="M404" s="340">
        <v>3</v>
      </c>
      <c r="N404" s="340"/>
      <c r="O404" s="340">
        <f>O365</f>
        <v>180</v>
      </c>
      <c r="P404" s="461">
        <v>1.6</v>
      </c>
      <c r="Q404" s="340"/>
      <c r="R404" s="462">
        <f>O404</f>
        <v>180</v>
      </c>
      <c r="S404" s="340" t="s">
        <v>168</v>
      </c>
      <c r="T404" s="347">
        <v>19</v>
      </c>
      <c r="U404" s="408" t="s">
        <v>726</v>
      </c>
      <c r="V404" s="306"/>
      <c r="W404" s="175"/>
      <c r="X404" s="175"/>
      <c r="Y404" s="175"/>
      <c r="Z404" s="175"/>
      <c r="AA404" s="175"/>
    </row>
    <row r="405" spans="1:27" s="175" customFormat="1">
      <c r="A405" s="1110"/>
      <c r="B405" s="296"/>
      <c r="C405" s="339" t="s">
        <v>703</v>
      </c>
      <c r="D405" s="560">
        <v>11</v>
      </c>
      <c r="E405" s="464" t="s">
        <v>299</v>
      </c>
      <c r="F405" s="463">
        <v>0</v>
      </c>
      <c r="G405" s="458">
        <v>11</v>
      </c>
      <c r="H405" s="459" t="s">
        <v>299</v>
      </c>
      <c r="I405" s="460">
        <v>7</v>
      </c>
      <c r="J405" s="340"/>
      <c r="K405" s="434">
        <f>(G405-D405)*20+I405-F405</f>
        <v>7</v>
      </c>
      <c r="L405" s="340">
        <v>9.8000000000000007</v>
      </c>
      <c r="M405" s="340">
        <v>3</v>
      </c>
      <c r="N405" s="340"/>
      <c r="O405" s="340">
        <f>O366</f>
        <v>205.8</v>
      </c>
      <c r="P405" s="461">
        <v>1.6</v>
      </c>
      <c r="Q405" s="340"/>
      <c r="R405" s="462">
        <f>O405</f>
        <v>205.8</v>
      </c>
      <c r="S405" s="340" t="s">
        <v>168</v>
      </c>
      <c r="T405" s="347">
        <v>19</v>
      </c>
      <c r="U405" s="408" t="s">
        <v>726</v>
      </c>
      <c r="V405" s="306">
        <f>V411</f>
        <v>4771.0519999999997</v>
      </c>
    </row>
    <row r="406" spans="1:27" s="175" customFormat="1">
      <c r="A406" s="1110"/>
      <c r="B406" s="296"/>
      <c r="C406" s="339" t="s">
        <v>744</v>
      </c>
      <c r="D406" s="560">
        <v>11</v>
      </c>
      <c r="E406" s="464" t="s">
        <v>299</v>
      </c>
      <c r="F406" s="463">
        <v>0</v>
      </c>
      <c r="G406" s="458">
        <v>11</v>
      </c>
      <c r="H406" s="459" t="s">
        <v>299</v>
      </c>
      <c r="I406" s="460">
        <v>7</v>
      </c>
      <c r="J406" s="340"/>
      <c r="K406" s="434">
        <f>K367</f>
        <v>7</v>
      </c>
      <c r="L406" s="340">
        <v>9.8000000000000007</v>
      </c>
      <c r="M406" s="340">
        <v>3</v>
      </c>
      <c r="N406" s="340"/>
      <c r="O406" s="340">
        <f>O367</f>
        <v>171.50000000000003</v>
      </c>
      <c r="P406" s="461">
        <v>1.6</v>
      </c>
      <c r="Q406" s="340"/>
      <c r="R406" s="462">
        <f>O406*P406</f>
        <v>274.40000000000003</v>
      </c>
      <c r="S406" s="340" t="s">
        <v>168</v>
      </c>
      <c r="T406" s="347">
        <v>20</v>
      </c>
      <c r="U406" s="408" t="s">
        <v>626</v>
      </c>
      <c r="V406" s="306">
        <f>V412</f>
        <v>4771.0519999999997</v>
      </c>
    </row>
    <row r="407" spans="1:27" s="175" customFormat="1" ht="30">
      <c r="A407" s="1110"/>
      <c r="B407" s="610"/>
      <c r="C407" s="547" t="s">
        <v>747</v>
      </c>
      <c r="D407" s="618"/>
      <c r="E407" s="714"/>
      <c r="F407" s="566"/>
      <c r="G407" s="300"/>
      <c r="H407" s="301"/>
      <c r="I407" s="302"/>
      <c r="J407" s="357"/>
      <c r="K407" s="611"/>
      <c r="L407" s="357"/>
      <c r="M407" s="566"/>
      <c r="N407" s="714"/>
      <c r="O407" s="1019">
        <f>SUM(R404:R405)</f>
        <v>385.8</v>
      </c>
      <c r="P407" s="461">
        <v>0.6</v>
      </c>
      <c r="Q407" s="566"/>
      <c r="R407" s="462">
        <f>O407*P407</f>
        <v>231.48</v>
      </c>
      <c r="S407" s="340" t="s">
        <v>168</v>
      </c>
      <c r="T407" s="355">
        <v>20</v>
      </c>
      <c r="U407" s="357" t="s">
        <v>765</v>
      </c>
      <c r="V407" s="306"/>
    </row>
    <row r="408" spans="1:27" s="175" customFormat="1">
      <c r="A408" s="1110"/>
      <c r="B408" s="296"/>
      <c r="C408" s="339" t="s">
        <v>744</v>
      </c>
      <c r="D408" s="560">
        <f>D368</f>
        <v>8</v>
      </c>
      <c r="E408" s="464" t="s">
        <v>299</v>
      </c>
      <c r="F408" s="463">
        <f>F368</f>
        <v>12</v>
      </c>
      <c r="G408" s="458">
        <f>G368</f>
        <v>9</v>
      </c>
      <c r="H408" s="459" t="s">
        <v>299</v>
      </c>
      <c r="I408" s="460">
        <f>I368</f>
        <v>16</v>
      </c>
      <c r="J408" s="340"/>
      <c r="K408" s="434">
        <f>(G408-D408)*20+I408-F408</f>
        <v>24</v>
      </c>
      <c r="L408" s="340">
        <v>9.8000000000000007</v>
      </c>
      <c r="M408" s="340"/>
      <c r="N408" s="340"/>
      <c r="O408" s="1067">
        <f>R368</f>
        <v>132</v>
      </c>
      <c r="P408" s="461">
        <v>1.6</v>
      </c>
      <c r="Q408" s="340"/>
      <c r="R408" s="462">
        <f>O408*P408</f>
        <v>211.20000000000002</v>
      </c>
      <c r="S408" s="340" t="s">
        <v>168</v>
      </c>
      <c r="T408" s="347">
        <v>20</v>
      </c>
      <c r="U408" s="408" t="s">
        <v>626</v>
      </c>
      <c r="V408" s="306">
        <f>V414</f>
        <v>4771.0519999999997</v>
      </c>
    </row>
    <row r="409" spans="1:27" s="175" customFormat="1">
      <c r="A409" s="1110"/>
      <c r="B409" s="594"/>
      <c r="C409" s="339" t="s">
        <v>894</v>
      </c>
      <c r="D409" s="496"/>
      <c r="E409" s="584"/>
      <c r="F409" s="498"/>
      <c r="G409" s="533"/>
      <c r="H409" s="585"/>
      <c r="I409" s="545"/>
      <c r="J409" s="586"/>
      <c r="K409" s="434"/>
      <c r="L409" s="434">
        <v>0.8</v>
      </c>
      <c r="M409" s="498">
        <v>1.2</v>
      </c>
      <c r="N409" s="464"/>
      <c r="O409" s="467">
        <f>(R1691)*-1</f>
        <v>0</v>
      </c>
      <c r="P409" s="461">
        <v>1.6</v>
      </c>
      <c r="Q409" s="463"/>
      <c r="R409" s="462">
        <f>O409*P409</f>
        <v>0</v>
      </c>
      <c r="S409" s="340" t="s">
        <v>168</v>
      </c>
      <c r="T409" s="347">
        <v>22</v>
      </c>
      <c r="U409" s="492" t="s">
        <v>893</v>
      </c>
      <c r="V409" s="306">
        <f>V386</f>
        <v>0</v>
      </c>
    </row>
    <row r="410" spans="1:27" s="688" customFormat="1">
      <c r="A410" s="1771"/>
      <c r="B410" s="1114"/>
      <c r="C410" s="972" t="s">
        <v>1196</v>
      </c>
      <c r="D410" s="869"/>
      <c r="E410" s="1115"/>
      <c r="F410" s="870"/>
      <c r="G410" s="1053"/>
      <c r="H410" s="1116"/>
      <c r="I410" s="973"/>
      <c r="J410" s="1117"/>
      <c r="K410" s="869"/>
      <c r="L410" s="871"/>
      <c r="M410" s="870"/>
      <c r="N410" s="898"/>
      <c r="O410" s="1118">
        <f>R393</f>
        <v>4587.55</v>
      </c>
      <c r="P410" s="873">
        <v>1.04</v>
      </c>
      <c r="Q410" s="899"/>
      <c r="R410" s="454">
        <f>O410*P410</f>
        <v>4771.0520000000006</v>
      </c>
      <c r="S410" s="1513" t="s">
        <v>168</v>
      </c>
      <c r="T410" s="874">
        <v>28</v>
      </c>
      <c r="U410" s="1119"/>
      <c r="V410" s="713"/>
    </row>
    <row r="411" spans="1:27" s="222" customFormat="1">
      <c r="A411" s="1106"/>
      <c r="B411" s="223"/>
      <c r="C411" s="224"/>
      <c r="D411" s="225"/>
      <c r="E411" s="226"/>
      <c r="F411" s="227"/>
      <c r="G411" s="225"/>
      <c r="H411" s="226"/>
      <c r="I411" s="227"/>
      <c r="J411" s="228"/>
      <c r="K411" s="229"/>
      <c r="L411" s="230"/>
      <c r="M411" s="231"/>
      <c r="N411" s="232"/>
      <c r="O411" s="233"/>
      <c r="P411" s="230"/>
      <c r="Q411" s="234"/>
      <c r="R411" s="235"/>
      <c r="S411" s="236"/>
      <c r="T411" s="294"/>
      <c r="U411" s="238"/>
      <c r="V411" s="174">
        <f>V412</f>
        <v>4771.0519999999997</v>
      </c>
    </row>
    <row r="412" spans="1:27" s="40" customFormat="1">
      <c r="A412" s="1106"/>
      <c r="B412" s="1123"/>
      <c r="C412" s="240"/>
      <c r="D412" s="2527" t="s">
        <v>257</v>
      </c>
      <c r="E412" s="2528"/>
      <c r="F412" s="2528"/>
      <c r="G412" s="2528"/>
      <c r="H412" s="2528"/>
      <c r="I412" s="2529"/>
      <c r="J412" s="2488">
        <f>VLOOKUP(A414,'11 - FINANCEIRA'!_xlnm.Print_Area,30,FALSE)</f>
        <v>6470.01</v>
      </c>
      <c r="K412" s="2489"/>
      <c r="L412" s="309" t="str">
        <f>VLOOKUP(A414,'11 - FINANCEIRA'!_xlnm.Print_Area,4,FALSE)</f>
        <v>T</v>
      </c>
      <c r="M412" s="2556" t="s">
        <v>258</v>
      </c>
      <c r="N412" s="2557"/>
      <c r="O412" s="2557"/>
      <c r="P412" s="2557"/>
      <c r="Q412" s="2558"/>
      <c r="R412" s="248">
        <f>SUM(R402:R411)</f>
        <v>6438.4120000000003</v>
      </c>
      <c r="S412" s="310" t="str">
        <f>L412</f>
        <v>T</v>
      </c>
      <c r="T412" s="244"/>
      <c r="U412" s="1124"/>
      <c r="V412" s="174">
        <f>V413</f>
        <v>4771.0519999999997</v>
      </c>
    </row>
    <row r="413" spans="1:27" s="40" customFormat="1">
      <c r="A413" s="1106"/>
      <c r="B413" s="1123"/>
      <c r="C413" s="2182"/>
      <c r="D413" s="2521" t="s">
        <v>259</v>
      </c>
      <c r="E413" s="2522"/>
      <c r="F413" s="2522"/>
      <c r="G413" s="2522"/>
      <c r="H413" s="2522"/>
      <c r="I413" s="2523"/>
      <c r="J413" s="2515">
        <f>R412/J412</f>
        <v>0.99511623629638901</v>
      </c>
      <c r="K413" s="2516"/>
      <c r="L413" s="2554"/>
      <c r="M413" s="2556" t="s">
        <v>260</v>
      </c>
      <c r="N413" s="2557"/>
      <c r="O413" s="2557"/>
      <c r="P413" s="2557"/>
      <c r="Q413" s="2558"/>
      <c r="R413" s="248">
        <f>VLOOKUP(A414,'11 - FINANCEIRA'!_xlnm.Print_Area,8,FALSE)</f>
        <v>1667.3600000000006</v>
      </c>
      <c r="S413" s="249" t="str">
        <f>L412</f>
        <v>T</v>
      </c>
      <c r="T413" s="244"/>
      <c r="U413" s="1124"/>
      <c r="V413" s="174">
        <f>V414</f>
        <v>4771.0519999999997</v>
      </c>
    </row>
    <row r="414" spans="1:27" s="40" customFormat="1">
      <c r="A414" s="1106" t="s">
        <v>33</v>
      </c>
      <c r="B414" s="250"/>
      <c r="C414" s="598"/>
      <c r="D414" s="2539"/>
      <c r="E414" s="2540"/>
      <c r="F414" s="2540"/>
      <c r="G414" s="2540"/>
      <c r="H414" s="2540"/>
      <c r="I414" s="2541"/>
      <c r="J414" s="2517"/>
      <c r="K414" s="2518"/>
      <c r="L414" s="2555"/>
      <c r="M414" s="2556" t="s">
        <v>261</v>
      </c>
      <c r="N414" s="2557"/>
      <c r="O414" s="2557"/>
      <c r="P414" s="2557"/>
      <c r="Q414" s="2558"/>
      <c r="R414" s="248">
        <f>R412-R413</f>
        <v>4771.0519999999997</v>
      </c>
      <c r="S414" s="249" t="str">
        <f>L412</f>
        <v>T</v>
      </c>
      <c r="T414" s="562"/>
      <c r="U414" s="563"/>
      <c r="V414" s="174">
        <f>R414</f>
        <v>4771.0519999999997</v>
      </c>
    </row>
    <row r="415" spans="1:27" s="40" customFormat="1" hidden="1">
      <c r="A415" s="1106"/>
      <c r="B415" s="253"/>
      <c r="C415" s="2062"/>
      <c r="D415" s="2063"/>
      <c r="E415" s="2064"/>
      <c r="F415" s="2063"/>
      <c r="G415" s="2063"/>
      <c r="H415" s="2063"/>
      <c r="I415" s="2063"/>
      <c r="J415" s="2065"/>
      <c r="K415" s="2066"/>
      <c r="L415" s="2067"/>
      <c r="M415" s="2068"/>
      <c r="N415" s="2068"/>
      <c r="O415" s="2068"/>
      <c r="P415" s="2068"/>
      <c r="Q415" s="2068"/>
      <c r="R415" s="2069"/>
      <c r="S415" s="2070"/>
      <c r="T415" s="562"/>
      <c r="U415" s="563"/>
      <c r="V415" s="265">
        <f>SUM(V400:V414)</f>
        <v>52481.571999999986</v>
      </c>
    </row>
    <row r="416" spans="1:27" s="176" customFormat="1" ht="15.75" hidden="1" customHeight="1">
      <c r="A416" s="1106"/>
      <c r="B416" s="2463">
        <f>VLOOKUP(A423,'11 - FINANCEIRA'!_xlnm.Print_Area,2,FALSE)</f>
        <v>30304</v>
      </c>
      <c r="C416" s="2465" t="str">
        <f>VLOOKUP(A423,'11 - FINANCEIRA'!_xlnm.Print_Area,3,FALSE)</f>
        <v>Índice de preço para remoção de entulho decorrente da execução de obras  - BDI = 14,02</v>
      </c>
      <c r="D416" s="2472" t="s">
        <v>242</v>
      </c>
      <c r="E416" s="2473"/>
      <c r="F416" s="2473"/>
      <c r="G416" s="2473"/>
      <c r="H416" s="2473"/>
      <c r="I416" s="2474"/>
      <c r="J416" s="2467" t="s">
        <v>243</v>
      </c>
      <c r="K416" s="2467" t="s">
        <v>244</v>
      </c>
      <c r="L416" s="2467" t="s">
        <v>245</v>
      </c>
      <c r="M416" s="2467" t="s">
        <v>246</v>
      </c>
      <c r="N416" s="2467" t="s">
        <v>247</v>
      </c>
      <c r="O416" s="2467" t="s">
        <v>248</v>
      </c>
      <c r="P416" s="173" t="s">
        <v>249</v>
      </c>
      <c r="Q416" s="2467" t="s">
        <v>250</v>
      </c>
      <c r="R416" s="2579" t="s">
        <v>139</v>
      </c>
      <c r="S416" s="2467" t="s">
        <v>251</v>
      </c>
      <c r="T416" s="2467" t="s">
        <v>252</v>
      </c>
      <c r="U416" s="2584" t="s">
        <v>253</v>
      </c>
      <c r="V416" s="174" t="e">
        <f t="shared" ref="V416:V422" si="38">V417</f>
        <v>#REF!</v>
      </c>
      <c r="W416" s="175"/>
      <c r="X416" s="175"/>
      <c r="Y416" s="175"/>
      <c r="Z416" s="175"/>
      <c r="AA416" s="175"/>
    </row>
    <row r="417" spans="1:27" s="176" customFormat="1" hidden="1">
      <c r="A417" s="1106"/>
      <c r="B417" s="2464" t="e">
        <f>LEFT(#REF!,5)</f>
        <v>#REF!</v>
      </c>
      <c r="C417" s="2466" t="e">
        <f>VLOOKUP(LEFT(#REF!,5),'11 - FINANCEIRA'!_xlnm.Print_Area,2,FALSE)</f>
        <v>#REF!</v>
      </c>
      <c r="D417" s="2475" t="s">
        <v>254</v>
      </c>
      <c r="E417" s="2476"/>
      <c r="F417" s="2477"/>
      <c r="G417" s="2469" t="s">
        <v>255</v>
      </c>
      <c r="H417" s="2470"/>
      <c r="I417" s="2471"/>
      <c r="J417" s="2468"/>
      <c r="K417" s="2468"/>
      <c r="L417" s="2468"/>
      <c r="M417" s="2468"/>
      <c r="N417" s="2468"/>
      <c r="O417" s="2468"/>
      <c r="P417" s="177" t="s">
        <v>256</v>
      </c>
      <c r="Q417" s="2468"/>
      <c r="R417" s="2580"/>
      <c r="S417" s="2468"/>
      <c r="T417" s="2468"/>
      <c r="U417" s="2585"/>
      <c r="V417" s="174" t="e">
        <f t="shared" si="38"/>
        <v>#REF!</v>
      </c>
      <c r="W417" s="175"/>
      <c r="X417" s="175"/>
      <c r="Y417" s="175"/>
      <c r="Z417" s="175"/>
      <c r="AA417" s="175"/>
    </row>
    <row r="418" spans="1:27" s="176" customFormat="1" ht="30" hidden="1">
      <c r="A418" s="1110"/>
      <c r="B418" s="336"/>
      <c r="C418" s="959" t="s">
        <v>186</v>
      </c>
      <c r="D418" s="469">
        <v>-2</v>
      </c>
      <c r="E418" s="470" t="s">
        <v>299</v>
      </c>
      <c r="F418" s="471">
        <v>17.78</v>
      </c>
      <c r="G418" s="472">
        <v>0</v>
      </c>
      <c r="H418" s="473" t="s">
        <v>299</v>
      </c>
      <c r="I418" s="474">
        <v>0</v>
      </c>
      <c r="J418" s="275" t="s">
        <v>300</v>
      </c>
      <c r="K418" s="275">
        <f>(G418-D418)*20+I418-F418</f>
        <v>22.22</v>
      </c>
      <c r="L418" s="275"/>
      <c r="M418" s="275"/>
      <c r="N418" s="275"/>
      <c r="O418" s="483">
        <v>619.03700000000003</v>
      </c>
      <c r="P418" s="338"/>
      <c r="Q418" s="960">
        <v>0.28360000000000002</v>
      </c>
      <c r="R418" s="961">
        <f>TRUNC(O418*(1+Q418),2)</f>
        <v>794.59</v>
      </c>
      <c r="S418" s="275" t="s">
        <v>164</v>
      </c>
      <c r="T418" s="276">
        <v>8</v>
      </c>
      <c r="U418" s="876"/>
      <c r="V418" s="306" t="e">
        <f t="shared" si="38"/>
        <v>#REF!</v>
      </c>
      <c r="W418" s="175"/>
      <c r="X418" s="175"/>
      <c r="Y418" s="175"/>
      <c r="Z418" s="175"/>
      <c r="AA418" s="175"/>
    </row>
    <row r="419" spans="1:27" s="176" customFormat="1" ht="30" hidden="1">
      <c r="A419" s="1110"/>
      <c r="B419" s="296"/>
      <c r="C419" s="466" t="s">
        <v>186</v>
      </c>
      <c r="D419" s="496">
        <v>0</v>
      </c>
      <c r="E419" s="464" t="s">
        <v>299</v>
      </c>
      <c r="F419" s="498">
        <v>0</v>
      </c>
      <c r="G419" s="533">
        <v>2</v>
      </c>
      <c r="H419" s="459" t="s">
        <v>299</v>
      </c>
      <c r="I419" s="545">
        <v>0</v>
      </c>
      <c r="J419" s="340" t="s">
        <v>300</v>
      </c>
      <c r="K419" s="340">
        <f>(G419-D419)*20+I419-F419</f>
        <v>40</v>
      </c>
      <c r="L419" s="340"/>
      <c r="M419" s="463"/>
      <c r="N419" s="464"/>
      <c r="O419" s="477">
        <v>517.303</v>
      </c>
      <c r="P419" s="461"/>
      <c r="Q419" s="478">
        <v>0.28360000000000002</v>
      </c>
      <c r="R419" s="479">
        <v>664.01</v>
      </c>
      <c r="S419" s="340" t="s">
        <v>164</v>
      </c>
      <c r="T419" s="347">
        <v>8</v>
      </c>
      <c r="U419" s="480" t="s">
        <v>307</v>
      </c>
      <c r="V419" s="306" t="e">
        <f>#REF!</f>
        <v>#REF!</v>
      </c>
      <c r="W419" s="175"/>
      <c r="X419" s="175"/>
      <c r="Y419" s="175"/>
      <c r="Z419" s="175"/>
      <c r="AA419" s="175"/>
    </row>
    <row r="420" spans="1:27" s="175" customFormat="1" ht="90" hidden="1">
      <c r="A420" s="1110"/>
      <c r="B420" s="884"/>
      <c r="C420" s="1628" t="s">
        <v>371</v>
      </c>
      <c r="D420" s="1601">
        <v>2</v>
      </c>
      <c r="E420" s="502" t="s">
        <v>299</v>
      </c>
      <c r="F420" s="565">
        <v>0</v>
      </c>
      <c r="G420" s="1601">
        <v>5</v>
      </c>
      <c r="H420" s="502" t="s">
        <v>299</v>
      </c>
      <c r="I420" s="565">
        <v>0</v>
      </c>
      <c r="J420" s="357" t="s">
        <v>300</v>
      </c>
      <c r="K420" s="546">
        <f>(G420-D420)*20+I420-F420</f>
        <v>60</v>
      </c>
      <c r="L420" s="350"/>
      <c r="M420" s="350"/>
      <c r="N420" s="350"/>
      <c r="O420" s="834">
        <v>2810.4290000000001</v>
      </c>
      <c r="P420" s="350"/>
      <c r="Q420" s="885">
        <v>0.28360000000000002</v>
      </c>
      <c r="R420" s="356">
        <f>TRUNC(O420*(1+Q420),3)</f>
        <v>3607.4659999999999</v>
      </c>
      <c r="S420" s="357" t="s">
        <v>164</v>
      </c>
      <c r="T420" s="355">
        <v>12</v>
      </c>
      <c r="U420" s="886" t="s">
        <v>546</v>
      </c>
      <c r="V420" s="429" t="e">
        <f>#REF!</f>
        <v>#REF!</v>
      </c>
    </row>
    <row r="421" spans="1:27" s="40" customFormat="1" hidden="1">
      <c r="A421" s="1106"/>
      <c r="B421" s="239"/>
      <c r="C421" s="1603"/>
      <c r="D421" s="2527" t="s">
        <v>257</v>
      </c>
      <c r="E421" s="2528"/>
      <c r="F421" s="2528"/>
      <c r="G421" s="2528"/>
      <c r="H421" s="2528"/>
      <c r="I421" s="2529"/>
      <c r="J421" s="2490">
        <f>VLOOKUP(A423,'11 - FINANCEIRA'!_xlnm.Print_Area,30,FALSE)</f>
        <v>5200.1300199999996</v>
      </c>
      <c r="K421" s="2491"/>
      <c r="L421" s="309" t="str">
        <f>VLOOKUP(A423,'11 - FINANCEIRA'!_xlnm.Print_Area,4,FALSE)</f>
        <v>m³</v>
      </c>
      <c r="M421" s="2556" t="s">
        <v>258</v>
      </c>
      <c r="N421" s="2557"/>
      <c r="O421" s="2557"/>
      <c r="P421" s="2557"/>
      <c r="Q421" s="2558"/>
      <c r="R421" s="808">
        <f>SUM(R418:R420)</f>
        <v>5066.0659999999998</v>
      </c>
      <c r="S421" s="310" t="str">
        <f>L421</f>
        <v>m³</v>
      </c>
      <c r="T421" s="321"/>
      <c r="U421" s="322"/>
      <c r="V421" s="174">
        <f t="shared" si="38"/>
        <v>0</v>
      </c>
    </row>
    <row r="422" spans="1:27" s="40" customFormat="1" hidden="1">
      <c r="A422" s="1106"/>
      <c r="B422" s="246"/>
      <c r="C422" s="247"/>
      <c r="D422" s="2521" t="s">
        <v>259</v>
      </c>
      <c r="E422" s="2522"/>
      <c r="F422" s="2522"/>
      <c r="G422" s="2522"/>
      <c r="H422" s="2522"/>
      <c r="I422" s="2523"/>
      <c r="J422" s="2515">
        <f>R421/J421</f>
        <v>0.97421910231390718</v>
      </c>
      <c r="K422" s="2516"/>
      <c r="L422" s="2554"/>
      <c r="M422" s="2556" t="s">
        <v>260</v>
      </c>
      <c r="N422" s="2557"/>
      <c r="O422" s="2557"/>
      <c r="P422" s="2557"/>
      <c r="Q422" s="2558"/>
      <c r="R422" s="248">
        <f>VLOOKUP(A423,'11 - FINANCEIRA'!_xlnm.Print_Area,8,FALSE)</f>
        <v>5066.0659999999998</v>
      </c>
      <c r="S422" s="249" t="str">
        <f>L421</f>
        <v>m³</v>
      </c>
      <c r="T422" s="244"/>
      <c r="U422" s="245"/>
      <c r="V422" s="174">
        <f t="shared" si="38"/>
        <v>0</v>
      </c>
    </row>
    <row r="423" spans="1:27" s="40" customFormat="1" hidden="1">
      <c r="A423" s="1106" t="s">
        <v>34</v>
      </c>
      <c r="B423" s="246"/>
      <c r="C423" s="240"/>
      <c r="D423" s="2524"/>
      <c r="E423" s="2525"/>
      <c r="F423" s="2525"/>
      <c r="G423" s="2525"/>
      <c r="H423" s="2525"/>
      <c r="I423" s="2526"/>
      <c r="J423" s="2519"/>
      <c r="K423" s="2520"/>
      <c r="L423" s="2570"/>
      <c r="M423" s="2574" t="s">
        <v>261</v>
      </c>
      <c r="N423" s="2575"/>
      <c r="O423" s="2575"/>
      <c r="P423" s="2575"/>
      <c r="Q423" s="2576"/>
      <c r="R423" s="251">
        <f>R421-R422</f>
        <v>0</v>
      </c>
      <c r="S423" s="252" t="str">
        <f>L421</f>
        <v>m³</v>
      </c>
      <c r="T423" s="244"/>
      <c r="U423" s="245"/>
      <c r="V423" s="174">
        <f>R423</f>
        <v>0</v>
      </c>
    </row>
    <row r="424" spans="1:27" s="40" customFormat="1" hidden="1">
      <c r="A424" s="1106"/>
      <c r="B424" s="311"/>
      <c r="C424" s="312"/>
      <c r="D424" s="313"/>
      <c r="E424" s="314"/>
      <c r="F424" s="313"/>
      <c r="G424" s="313"/>
      <c r="H424" s="313"/>
      <c r="I424" s="313"/>
      <c r="J424" s="315"/>
      <c r="K424" s="316"/>
      <c r="L424" s="317"/>
      <c r="M424" s="318"/>
      <c r="N424" s="318"/>
      <c r="O424" s="318"/>
      <c r="P424" s="318"/>
      <c r="Q424" s="318"/>
      <c r="R424" s="319"/>
      <c r="S424" s="320"/>
      <c r="T424" s="321"/>
      <c r="U424" s="322"/>
      <c r="V424" s="265" t="e">
        <f>SUM(V416:V423)</f>
        <v>#REF!</v>
      </c>
    </row>
    <row r="425" spans="1:27" s="326" customFormat="1">
      <c r="A425" s="1770"/>
      <c r="B425" s="166" t="str">
        <f>LEFT(A434,5)</f>
        <v>2.2</v>
      </c>
      <c r="C425" s="167" t="str">
        <f>VLOOKUP(LEFT(A434,5),'11 - FINANCEIRA'!_xlnm.Print_Area,2,FALSE)</f>
        <v>Drenagem Pluvial</v>
      </c>
      <c r="D425" s="167"/>
      <c r="E425" s="168"/>
      <c r="F425" s="167"/>
      <c r="G425" s="2696"/>
      <c r="H425" s="2696"/>
      <c r="I425" s="2696"/>
      <c r="J425" s="2696"/>
      <c r="K425" s="2696"/>
      <c r="L425" s="2696"/>
      <c r="M425" s="171"/>
      <c r="N425" s="172"/>
      <c r="O425" s="2700"/>
      <c r="P425" s="2700"/>
      <c r="Q425" s="2700"/>
      <c r="R425" s="2701"/>
      <c r="S425" s="323"/>
      <c r="T425" s="324"/>
      <c r="U425" s="325"/>
      <c r="V425" s="163">
        <f>SUM(V426:V436)</f>
        <v>20</v>
      </c>
    </row>
    <row r="426" spans="1:27" s="176" customFormat="1" ht="41.25" customHeight="1">
      <c r="A426" s="1106"/>
      <c r="B426" s="2463" t="str">
        <f>VLOOKUP(A435,'11 - FINANCEIRA'!_xlnm.Print_Area,2,FALSE)</f>
        <v>5199-83627</v>
      </c>
      <c r="C426" s="2503" t="str">
        <f>VLOOKUP(A435,'11 - FINANCEIRA'!_xlnm.Print_Area,3,FALSE)</f>
        <v>Tampão Fofo Articulado, Classe B125 Carga Max 12,5 T, Redondo Tampa 600 Mm, Rede Pluvial/Esgoto, P = Chamine Cx Areia / Poco Visita Assentado Com Arg Cim/Areia 1:4, Fornecimento E Assentamento</v>
      </c>
      <c r="D426" s="2472" t="s">
        <v>242</v>
      </c>
      <c r="E426" s="2473"/>
      <c r="F426" s="2473"/>
      <c r="G426" s="2473"/>
      <c r="H426" s="2473"/>
      <c r="I426" s="2474"/>
      <c r="J426" s="2467" t="s">
        <v>243</v>
      </c>
      <c r="K426" s="2467" t="s">
        <v>244</v>
      </c>
      <c r="L426" s="2467" t="s">
        <v>245</v>
      </c>
      <c r="M426" s="2467" t="s">
        <v>246</v>
      </c>
      <c r="N426" s="2467" t="s">
        <v>247</v>
      </c>
      <c r="O426" s="2467" t="s">
        <v>248</v>
      </c>
      <c r="P426" s="2467" t="s">
        <v>308</v>
      </c>
      <c r="Q426" s="2467" t="s">
        <v>250</v>
      </c>
      <c r="R426" s="2579" t="s">
        <v>139</v>
      </c>
      <c r="S426" s="2467" t="s">
        <v>251</v>
      </c>
      <c r="T426" s="2467" t="s">
        <v>252</v>
      </c>
      <c r="U426" s="2584" t="s">
        <v>253</v>
      </c>
      <c r="V426" s="174">
        <f t="shared" ref="V426:V434" si="39">V427</f>
        <v>1</v>
      </c>
      <c r="W426" s="175"/>
      <c r="X426" s="175"/>
      <c r="Y426" s="175"/>
      <c r="Z426" s="175"/>
      <c r="AA426" s="175"/>
    </row>
    <row r="427" spans="1:27" s="176" customFormat="1" ht="41.25" customHeight="1">
      <c r="A427" s="1106"/>
      <c r="B427" s="2464" t="e">
        <f>LEFT(#REF!,5)</f>
        <v>#REF!</v>
      </c>
      <c r="C427" s="2504" t="e">
        <f>VLOOKUP(LEFT(#REF!,5),'11 - FINANCEIRA'!_xlnm.Print_Area,2,FALSE)</f>
        <v>#REF!</v>
      </c>
      <c r="D427" s="2475" t="s">
        <v>254</v>
      </c>
      <c r="E427" s="2476"/>
      <c r="F427" s="2477"/>
      <c r="G427" s="2469" t="s">
        <v>255</v>
      </c>
      <c r="H427" s="2470"/>
      <c r="I427" s="2471"/>
      <c r="J427" s="2468"/>
      <c r="K427" s="2468"/>
      <c r="L427" s="2468"/>
      <c r="M427" s="2468"/>
      <c r="N427" s="2468"/>
      <c r="O427" s="2468"/>
      <c r="P427" s="2468"/>
      <c r="Q427" s="2468"/>
      <c r="R427" s="2580"/>
      <c r="S427" s="2468"/>
      <c r="T427" s="2468"/>
      <c r="U427" s="2585"/>
      <c r="V427" s="174">
        <f t="shared" si="39"/>
        <v>1</v>
      </c>
      <c r="W427" s="175"/>
      <c r="X427" s="175"/>
      <c r="Y427" s="175"/>
      <c r="Z427" s="175"/>
      <c r="AA427" s="175"/>
    </row>
    <row r="428" spans="1:27" s="176" customFormat="1" ht="60">
      <c r="A428" s="1110"/>
      <c r="B428" s="336"/>
      <c r="C428" s="1068" t="s">
        <v>172</v>
      </c>
      <c r="D428" s="469">
        <v>1</v>
      </c>
      <c r="E428" s="470" t="s">
        <v>299</v>
      </c>
      <c r="F428" s="471">
        <v>5</v>
      </c>
      <c r="G428" s="472">
        <v>1</v>
      </c>
      <c r="H428" s="473" t="s">
        <v>299</v>
      </c>
      <c r="I428" s="474">
        <v>7</v>
      </c>
      <c r="J428" s="275" t="s">
        <v>309</v>
      </c>
      <c r="K428" s="275">
        <v>2</v>
      </c>
      <c r="L428" s="275"/>
      <c r="M428" s="275"/>
      <c r="N428" s="275"/>
      <c r="O428" s="275"/>
      <c r="P428" s="338"/>
      <c r="Q428" s="275"/>
      <c r="R428" s="191">
        <v>2</v>
      </c>
      <c r="S428" s="275" t="s">
        <v>310</v>
      </c>
      <c r="T428" s="427">
        <v>8</v>
      </c>
      <c r="U428" s="1069" t="s">
        <v>311</v>
      </c>
      <c r="V428" s="306">
        <f t="shared" si="39"/>
        <v>1</v>
      </c>
      <c r="W428" s="175"/>
      <c r="X428" s="175"/>
      <c r="Y428" s="175"/>
      <c r="Z428" s="175"/>
      <c r="AA428" s="175"/>
    </row>
    <row r="429" spans="1:27" s="176" customFormat="1" ht="60">
      <c r="A429" s="1110"/>
      <c r="B429" s="296"/>
      <c r="C429" s="1158" t="s">
        <v>172</v>
      </c>
      <c r="D429" s="496"/>
      <c r="E429" s="464"/>
      <c r="F429" s="498"/>
      <c r="G429" s="533"/>
      <c r="H429" s="459"/>
      <c r="I429" s="545"/>
      <c r="J429" s="340"/>
      <c r="K429" s="340">
        <v>2</v>
      </c>
      <c r="L429" s="340"/>
      <c r="M429" s="340"/>
      <c r="N429" s="340"/>
      <c r="O429" s="340"/>
      <c r="P429" s="461"/>
      <c r="Q429" s="340"/>
      <c r="R429" s="462">
        <v>2</v>
      </c>
      <c r="S429" s="340" t="s">
        <v>310</v>
      </c>
      <c r="T429" s="539">
        <v>22</v>
      </c>
      <c r="U429" s="305" t="s">
        <v>861</v>
      </c>
      <c r="V429" s="306">
        <f t="shared" si="39"/>
        <v>1</v>
      </c>
      <c r="W429" s="175"/>
      <c r="X429" s="175"/>
      <c r="Y429" s="175"/>
      <c r="Z429" s="175"/>
      <c r="AA429" s="175"/>
    </row>
    <row r="430" spans="1:27" s="176" customFormat="1" ht="60">
      <c r="A430" s="1110"/>
      <c r="B430" s="296"/>
      <c r="C430" s="1158" t="s">
        <v>172</v>
      </c>
      <c r="D430" s="496"/>
      <c r="E430" s="464"/>
      <c r="F430" s="498"/>
      <c r="G430" s="533"/>
      <c r="H430" s="459"/>
      <c r="I430" s="545"/>
      <c r="J430" s="340"/>
      <c r="K430" s="340">
        <v>2</v>
      </c>
      <c r="L430" s="340"/>
      <c r="M430" s="340"/>
      <c r="N430" s="340"/>
      <c r="O430" s="340"/>
      <c r="P430" s="461"/>
      <c r="Q430" s="340"/>
      <c r="R430" s="462">
        <v>2</v>
      </c>
      <c r="S430" s="340" t="s">
        <v>310</v>
      </c>
      <c r="T430" s="539">
        <v>24</v>
      </c>
      <c r="U430" s="305" t="s">
        <v>986</v>
      </c>
      <c r="V430" s="306">
        <f t="shared" si="39"/>
        <v>1</v>
      </c>
      <c r="W430" s="175"/>
      <c r="X430" s="175"/>
      <c r="Y430" s="175"/>
      <c r="Z430" s="175"/>
      <c r="AA430" s="175"/>
    </row>
    <row r="431" spans="1:27" s="176" customFormat="1" ht="60">
      <c r="A431" s="1110"/>
      <c r="B431" s="296"/>
      <c r="C431" s="1158" t="s">
        <v>172</v>
      </c>
      <c r="D431" s="496"/>
      <c r="E431" s="464"/>
      <c r="F431" s="498"/>
      <c r="G431" s="533"/>
      <c r="H431" s="459"/>
      <c r="I431" s="545"/>
      <c r="J431" s="340"/>
      <c r="K431" s="340">
        <v>2</v>
      </c>
      <c r="L431" s="340"/>
      <c r="M431" s="340"/>
      <c r="N431" s="340"/>
      <c r="O431" s="340"/>
      <c r="P431" s="461"/>
      <c r="Q431" s="340"/>
      <c r="R431" s="462">
        <v>2</v>
      </c>
      <c r="S431" s="340" t="s">
        <v>310</v>
      </c>
      <c r="T431" s="539">
        <v>25</v>
      </c>
      <c r="U431" s="305" t="s">
        <v>1041</v>
      </c>
      <c r="V431" s="306">
        <f>V433</f>
        <v>1</v>
      </c>
      <c r="W431" s="175"/>
      <c r="X431" s="175"/>
      <c r="Y431" s="175"/>
      <c r="Z431" s="175"/>
      <c r="AA431" s="175"/>
    </row>
    <row r="432" spans="1:27" s="176" customFormat="1" ht="60">
      <c r="A432" s="1771"/>
      <c r="B432" s="1515"/>
      <c r="C432" s="1629" t="s">
        <v>172</v>
      </c>
      <c r="D432" s="869"/>
      <c r="E432" s="898"/>
      <c r="F432" s="870"/>
      <c r="G432" s="1053"/>
      <c r="H432" s="1410"/>
      <c r="I432" s="973"/>
      <c r="J432" s="760"/>
      <c r="K432" s="760">
        <v>2</v>
      </c>
      <c r="L432" s="760"/>
      <c r="M432" s="760"/>
      <c r="N432" s="760"/>
      <c r="O432" s="760"/>
      <c r="P432" s="873"/>
      <c r="Q432" s="760"/>
      <c r="R432" s="962">
        <v>1</v>
      </c>
      <c r="S432" s="760" t="s">
        <v>310</v>
      </c>
      <c r="T432" s="915">
        <v>28</v>
      </c>
      <c r="U432" s="1630" t="s">
        <v>1157</v>
      </c>
      <c r="V432" s="306">
        <f>V434</f>
        <v>1</v>
      </c>
      <c r="W432" s="175"/>
      <c r="X432" s="175"/>
      <c r="Y432" s="175"/>
      <c r="Z432" s="175"/>
      <c r="AA432" s="175"/>
    </row>
    <row r="433" spans="1:27" s="40" customFormat="1">
      <c r="A433" s="1106"/>
      <c r="B433" s="239"/>
      <c r="C433" s="1603"/>
      <c r="D433" s="2527" t="s">
        <v>257</v>
      </c>
      <c r="E433" s="2528"/>
      <c r="F433" s="2528"/>
      <c r="G433" s="2528"/>
      <c r="H433" s="2528"/>
      <c r="I433" s="2529"/>
      <c r="J433" s="2490">
        <f>VLOOKUP(A435,'11 - FINANCEIRA'!$A$16:$AE$156,30,FALSE)</f>
        <v>9</v>
      </c>
      <c r="K433" s="2491"/>
      <c r="L433" s="309" t="str">
        <f>VLOOKUP(A435,'11 - FINANCEIRA'!_xlnm.Print_Area,4,FALSE)</f>
        <v>un</v>
      </c>
      <c r="M433" s="2556" t="s">
        <v>258</v>
      </c>
      <c r="N433" s="2557"/>
      <c r="O433" s="2557"/>
      <c r="P433" s="2557"/>
      <c r="Q433" s="2558"/>
      <c r="R433" s="248">
        <f>SUM(R428:R432)</f>
        <v>9</v>
      </c>
      <c r="S433" s="310" t="str">
        <f>L433</f>
        <v>un</v>
      </c>
      <c r="T433" s="321"/>
      <c r="U433" s="322"/>
      <c r="V433" s="174">
        <f t="shared" si="39"/>
        <v>1</v>
      </c>
    </row>
    <row r="434" spans="1:27" s="40" customFormat="1">
      <c r="A434" s="1106" t="s">
        <v>35</v>
      </c>
      <c r="B434" s="1123"/>
      <c r="C434" s="2182"/>
      <c r="D434" s="2521" t="s">
        <v>259</v>
      </c>
      <c r="E434" s="2522"/>
      <c r="F434" s="2522"/>
      <c r="G434" s="2522"/>
      <c r="H434" s="2522"/>
      <c r="I434" s="2523"/>
      <c r="J434" s="2515">
        <f>R433/J433</f>
        <v>1</v>
      </c>
      <c r="K434" s="2516"/>
      <c r="L434" s="2554"/>
      <c r="M434" s="2556" t="s">
        <v>260</v>
      </c>
      <c r="N434" s="2557"/>
      <c r="O434" s="2557"/>
      <c r="P434" s="2557"/>
      <c r="Q434" s="2558"/>
      <c r="R434" s="248">
        <f>VLOOKUP(A435,'11 - FINANCEIRA'!_xlnm.Print_Area,8,FALSE)</f>
        <v>8</v>
      </c>
      <c r="S434" s="249" t="str">
        <f>L433</f>
        <v>un</v>
      </c>
      <c r="T434" s="244"/>
      <c r="U434" s="1124"/>
      <c r="V434" s="174">
        <f t="shared" si="39"/>
        <v>1</v>
      </c>
    </row>
    <row r="435" spans="1:27" s="40" customFormat="1">
      <c r="A435" s="1106" t="s">
        <v>36</v>
      </c>
      <c r="B435" s="250"/>
      <c r="C435" s="598"/>
      <c r="D435" s="2539"/>
      <c r="E435" s="2540"/>
      <c r="F435" s="2540"/>
      <c r="G435" s="2540"/>
      <c r="H435" s="2540"/>
      <c r="I435" s="2541"/>
      <c r="J435" s="2517"/>
      <c r="K435" s="2518"/>
      <c r="L435" s="2555"/>
      <c r="M435" s="2556" t="s">
        <v>261</v>
      </c>
      <c r="N435" s="2557"/>
      <c r="O435" s="2557"/>
      <c r="P435" s="2557"/>
      <c r="Q435" s="2558"/>
      <c r="R435" s="248">
        <f>R433-R434</f>
        <v>1</v>
      </c>
      <c r="S435" s="249" t="str">
        <f>L433</f>
        <v>un</v>
      </c>
      <c r="T435" s="562"/>
      <c r="U435" s="563"/>
      <c r="V435" s="174">
        <f>R435</f>
        <v>1</v>
      </c>
    </row>
    <row r="436" spans="1:27" s="40" customFormat="1" hidden="1">
      <c r="A436" s="1106"/>
      <c r="B436" s="2087"/>
      <c r="C436" s="2088"/>
      <c r="D436" s="2089"/>
      <c r="E436" s="2090"/>
      <c r="F436" s="2089"/>
      <c r="G436" s="2089"/>
      <c r="H436" s="2089"/>
      <c r="I436" s="2089"/>
      <c r="J436" s="2091"/>
      <c r="K436" s="2092"/>
      <c r="L436" s="2093"/>
      <c r="M436" s="2094"/>
      <c r="N436" s="2094"/>
      <c r="O436" s="2094"/>
      <c r="P436" s="2094"/>
      <c r="Q436" s="2094"/>
      <c r="R436" s="2095"/>
      <c r="S436" s="2096"/>
      <c r="T436" s="244"/>
      <c r="U436" s="1124"/>
      <c r="V436" s="265">
        <f>SUM(V426:V435)</f>
        <v>10</v>
      </c>
    </row>
    <row r="437" spans="1:27" s="326" customFormat="1">
      <c r="A437" s="1770"/>
      <c r="B437" s="166" t="str">
        <f>LEFT(A448,5)</f>
        <v>2.3</v>
      </c>
      <c r="C437" s="167" t="str">
        <f>VLOOKUP(LEFT(A448,5),'11 - FINANCEIRA'!_xlnm.Print_Area,2,FALSE)</f>
        <v>Obras Complementares</v>
      </c>
      <c r="D437" s="167"/>
      <c r="E437" s="168"/>
      <c r="F437" s="167"/>
      <c r="G437" s="2696"/>
      <c r="H437" s="2696"/>
      <c r="I437" s="2696"/>
      <c r="J437" s="2696"/>
      <c r="K437" s="2696"/>
      <c r="L437" s="2696"/>
      <c r="M437" s="171"/>
      <c r="N437" s="172"/>
      <c r="O437" s="2700"/>
      <c r="P437" s="2700"/>
      <c r="Q437" s="2700"/>
      <c r="R437" s="2701"/>
      <c r="S437" s="323"/>
      <c r="T437" s="324"/>
      <c r="U437" s="325"/>
      <c r="V437" s="163">
        <f ca="1">SUM(V438:V480)</f>
        <v>0</v>
      </c>
    </row>
    <row r="438" spans="1:27" s="176" customFormat="1">
      <c r="A438" s="1106"/>
      <c r="B438" s="2624">
        <f>VLOOKUP(A449,'11 - FINANCEIRA'!_xlnm.Print_Area,2,FALSE)</f>
        <v>43069</v>
      </c>
      <c r="C438" s="2643" t="str">
        <f>VLOOKUP(A449,'11 - FINANCEIRA'!_xlnm.Print_Area,3,FALSE)</f>
        <v>Remoção de bueiros existentes, em Vias Urbanas</v>
      </c>
      <c r="D438" s="2626" t="s">
        <v>242</v>
      </c>
      <c r="E438" s="2627"/>
      <c r="F438" s="2627"/>
      <c r="G438" s="2627"/>
      <c r="H438" s="2627"/>
      <c r="I438" s="2628"/>
      <c r="J438" s="2467" t="s">
        <v>243</v>
      </c>
      <c r="K438" s="2532" t="s">
        <v>244</v>
      </c>
      <c r="L438" s="2532" t="s">
        <v>245</v>
      </c>
      <c r="M438" s="2532" t="s">
        <v>246</v>
      </c>
      <c r="N438" s="2698" t="s">
        <v>247</v>
      </c>
      <c r="O438" s="2532" t="s">
        <v>248</v>
      </c>
      <c r="P438" s="2100" t="s">
        <v>312</v>
      </c>
      <c r="Q438" s="2532" t="s">
        <v>250</v>
      </c>
      <c r="R438" s="2623" t="s">
        <v>139</v>
      </c>
      <c r="S438" s="2532" t="s">
        <v>251</v>
      </c>
      <c r="T438" s="2532" t="s">
        <v>252</v>
      </c>
      <c r="U438" s="2622" t="s">
        <v>253</v>
      </c>
      <c r="V438" s="174">
        <f t="shared" ref="V438:V448" si="40">V439</f>
        <v>0</v>
      </c>
      <c r="W438" s="175"/>
      <c r="X438" s="175"/>
      <c r="Y438" s="175"/>
      <c r="Z438" s="175"/>
      <c r="AA438" s="175"/>
    </row>
    <row r="439" spans="1:27" s="176" customFormat="1">
      <c r="A439" s="1106"/>
      <c r="B439" s="2464" t="e">
        <f>LEFT(#REF!,5)</f>
        <v>#REF!</v>
      </c>
      <c r="C439" s="2466" t="e">
        <f>VLOOKUP(LEFT(#REF!,5),'11 - FINANCEIRA'!_xlnm.Print_Area,2,FALSE)</f>
        <v>#REF!</v>
      </c>
      <c r="D439" s="2475" t="s">
        <v>254</v>
      </c>
      <c r="E439" s="2476"/>
      <c r="F439" s="2477"/>
      <c r="G439" s="2469" t="s">
        <v>255</v>
      </c>
      <c r="H439" s="2470"/>
      <c r="I439" s="2471"/>
      <c r="J439" s="2468"/>
      <c r="K439" s="2468"/>
      <c r="L439" s="2468"/>
      <c r="M439" s="2468"/>
      <c r="N439" s="2699"/>
      <c r="O439" s="2468"/>
      <c r="P439" s="177" t="s">
        <v>313</v>
      </c>
      <c r="Q439" s="2468"/>
      <c r="R439" s="2580"/>
      <c r="S439" s="2468"/>
      <c r="T439" s="2468"/>
      <c r="U439" s="2585"/>
      <c r="V439" s="174">
        <f t="shared" si="40"/>
        <v>0</v>
      </c>
      <c r="W439" s="175"/>
      <c r="X439" s="175"/>
      <c r="Y439" s="175"/>
      <c r="Z439" s="175"/>
      <c r="AA439" s="175"/>
    </row>
    <row r="440" spans="1:27" s="176" customFormat="1" ht="30">
      <c r="A440" s="1110"/>
      <c r="B440" s="336"/>
      <c r="C440" s="266" t="s">
        <v>174</v>
      </c>
      <c r="D440" s="481">
        <v>0</v>
      </c>
      <c r="E440" s="423" t="s">
        <v>299</v>
      </c>
      <c r="F440" s="424">
        <v>0</v>
      </c>
      <c r="G440" s="482">
        <v>1</v>
      </c>
      <c r="H440" s="420" t="s">
        <v>299</v>
      </c>
      <c r="I440" s="421">
        <v>2.226</v>
      </c>
      <c r="J440" s="275" t="s">
        <v>300</v>
      </c>
      <c r="K440" s="483">
        <f>(G440-D440)*20+I440-F440</f>
        <v>22.225999999999999</v>
      </c>
      <c r="L440" s="275"/>
      <c r="M440" s="275"/>
      <c r="N440" s="275"/>
      <c r="O440" s="275"/>
      <c r="P440" s="338"/>
      <c r="Q440" s="275"/>
      <c r="R440" s="191">
        <v>26</v>
      </c>
      <c r="S440" s="275" t="s">
        <v>144</v>
      </c>
      <c r="T440" s="276">
        <v>7</v>
      </c>
      <c r="U440" s="637" t="s">
        <v>314</v>
      </c>
      <c r="V440" s="306">
        <f t="shared" si="40"/>
        <v>0</v>
      </c>
      <c r="W440" s="175"/>
      <c r="X440" s="175"/>
      <c r="Y440" s="175"/>
      <c r="Z440" s="175"/>
      <c r="AA440" s="175"/>
    </row>
    <row r="441" spans="1:27" s="176" customFormat="1">
      <c r="A441" s="1110"/>
      <c r="B441" s="557"/>
      <c r="C441" s="820" t="s">
        <v>497</v>
      </c>
      <c r="D441" s="618">
        <v>2</v>
      </c>
      <c r="E441" s="301" t="s">
        <v>299</v>
      </c>
      <c r="F441" s="566">
        <v>10</v>
      </c>
      <c r="G441" s="618">
        <v>3</v>
      </c>
      <c r="H441" s="301" t="s">
        <v>299</v>
      </c>
      <c r="I441" s="566">
        <v>3</v>
      </c>
      <c r="J441" s="340" t="s">
        <v>300</v>
      </c>
      <c r="K441" s="340">
        <f>SUM(G441*20+I441)-(D441*20+F441)</f>
        <v>13</v>
      </c>
      <c r="L441" s="340">
        <v>13</v>
      </c>
      <c r="M441" s="463"/>
      <c r="N441" s="464"/>
      <c r="O441" s="560"/>
      <c r="P441" s="461"/>
      <c r="Q441" s="463"/>
      <c r="R441" s="462">
        <f t="shared" ref="R441:R446" si="41">K441</f>
        <v>13</v>
      </c>
      <c r="S441" s="340" t="s">
        <v>144</v>
      </c>
      <c r="T441" s="347">
        <v>12</v>
      </c>
      <c r="U441" s="2170" t="s">
        <v>493</v>
      </c>
    </row>
    <row r="442" spans="1:27" s="175" customFormat="1">
      <c r="A442" s="1110"/>
      <c r="B442" s="342"/>
      <c r="C442" s="495" t="s">
        <v>174</v>
      </c>
      <c r="D442" s="564">
        <f t="shared" ref="D442:I442" si="42">D827</f>
        <v>35</v>
      </c>
      <c r="E442" s="497" t="str">
        <f t="shared" si="42"/>
        <v>+</v>
      </c>
      <c r="F442" s="1385">
        <f t="shared" si="42"/>
        <v>14</v>
      </c>
      <c r="G442" s="564">
        <f t="shared" si="42"/>
        <v>39</v>
      </c>
      <c r="H442" s="497" t="str">
        <f t="shared" si="42"/>
        <v>+</v>
      </c>
      <c r="I442" s="1385">
        <f t="shared" si="42"/>
        <v>16</v>
      </c>
      <c r="J442" s="340" t="s">
        <v>300</v>
      </c>
      <c r="K442" s="477">
        <f>(G442-D442)*20+I442-F442</f>
        <v>82</v>
      </c>
      <c r="L442" s="344"/>
      <c r="M442" s="344"/>
      <c r="N442" s="344"/>
      <c r="O442" s="345"/>
      <c r="P442" s="344"/>
      <c r="Q442" s="345"/>
      <c r="R442" s="462">
        <f t="shared" si="41"/>
        <v>82</v>
      </c>
      <c r="S442" s="406" t="s">
        <v>144</v>
      </c>
      <c r="T442" s="347">
        <v>25</v>
      </c>
      <c r="U442" s="435" t="str">
        <f>U441</f>
        <v>ITEM DE ADITIVO</v>
      </c>
      <c r="V442" s="306">
        <f>V445</f>
        <v>22</v>
      </c>
    </row>
    <row r="443" spans="1:27" s="175" customFormat="1">
      <c r="A443" s="1110"/>
      <c r="B443" s="342"/>
      <c r="C443" s="495" t="s">
        <v>174</v>
      </c>
      <c r="D443" s="564">
        <f t="shared" ref="D443:I444" si="43">D316</f>
        <v>31</v>
      </c>
      <c r="E443" s="497" t="str">
        <f t="shared" si="43"/>
        <v>+</v>
      </c>
      <c r="F443" s="1385">
        <f t="shared" si="43"/>
        <v>12</v>
      </c>
      <c r="G443" s="564">
        <f t="shared" si="43"/>
        <v>35</v>
      </c>
      <c r="H443" s="497" t="str">
        <f t="shared" si="43"/>
        <v>+</v>
      </c>
      <c r="I443" s="1385">
        <f t="shared" si="43"/>
        <v>14</v>
      </c>
      <c r="J443" s="340" t="s">
        <v>300</v>
      </c>
      <c r="K443" s="477">
        <f>(G443-D443)*20+I443-F443</f>
        <v>82</v>
      </c>
      <c r="L443" s="344"/>
      <c r="M443" s="344"/>
      <c r="N443" s="344"/>
      <c r="O443" s="345"/>
      <c r="P443" s="344"/>
      <c r="Q443" s="345"/>
      <c r="R443" s="462">
        <f t="shared" si="41"/>
        <v>82</v>
      </c>
      <c r="S443" s="406" t="s">
        <v>144</v>
      </c>
      <c r="T443" s="347">
        <v>26</v>
      </c>
      <c r="U443" s="435" t="str">
        <f>U442</f>
        <v>ITEM DE ADITIVO</v>
      </c>
      <c r="V443" s="306">
        <f>V447</f>
        <v>22</v>
      </c>
    </row>
    <row r="444" spans="1:27" s="175" customFormat="1">
      <c r="A444" s="1110"/>
      <c r="B444" s="342"/>
      <c r="C444" s="495" t="s">
        <v>174</v>
      </c>
      <c r="D444" s="564">
        <f t="shared" si="43"/>
        <v>39</v>
      </c>
      <c r="E444" s="497" t="str">
        <f t="shared" si="43"/>
        <v>+</v>
      </c>
      <c r="F444" s="1385">
        <f t="shared" si="43"/>
        <v>16</v>
      </c>
      <c r="G444" s="564">
        <f t="shared" si="43"/>
        <v>41</v>
      </c>
      <c r="H444" s="497" t="str">
        <f t="shared" si="43"/>
        <v>+</v>
      </c>
      <c r="I444" s="1385">
        <f t="shared" si="43"/>
        <v>16</v>
      </c>
      <c r="J444" s="340" t="s">
        <v>300</v>
      </c>
      <c r="K444" s="477">
        <f>(G444-D444)*20+I444-F444</f>
        <v>40</v>
      </c>
      <c r="L444" s="344"/>
      <c r="M444" s="344"/>
      <c r="N444" s="344"/>
      <c r="O444" s="345"/>
      <c r="P444" s="344"/>
      <c r="Q444" s="345"/>
      <c r="R444" s="462">
        <f t="shared" si="41"/>
        <v>40</v>
      </c>
      <c r="S444" s="406" t="s">
        <v>144</v>
      </c>
      <c r="T444" s="347">
        <v>26</v>
      </c>
      <c r="U444" s="435" t="str">
        <f>U443</f>
        <v>ITEM DE ADITIVO</v>
      </c>
      <c r="V444" s="306">
        <f>V448</f>
        <v>22</v>
      </c>
    </row>
    <row r="445" spans="1:27" s="175" customFormat="1">
      <c r="A445" s="1110"/>
      <c r="B445" s="342"/>
      <c r="C445" s="495" t="s">
        <v>174</v>
      </c>
      <c r="D445" s="564">
        <v>41</v>
      </c>
      <c r="E445" s="497" t="s">
        <v>299</v>
      </c>
      <c r="F445" s="1385">
        <v>16</v>
      </c>
      <c r="G445" s="564">
        <v>42</v>
      </c>
      <c r="H445" s="497" t="s">
        <v>299</v>
      </c>
      <c r="I445" s="1385">
        <v>12</v>
      </c>
      <c r="J445" s="340" t="s">
        <v>300</v>
      </c>
      <c r="K445" s="477">
        <f>(G445-D445)*20+I445-F445</f>
        <v>16</v>
      </c>
      <c r="L445" s="344"/>
      <c r="M445" s="344"/>
      <c r="N445" s="344"/>
      <c r="O445" s="345"/>
      <c r="P445" s="344"/>
      <c r="Q445" s="345"/>
      <c r="R445" s="462">
        <f t="shared" si="41"/>
        <v>16</v>
      </c>
      <c r="S445" s="406" t="s">
        <v>144</v>
      </c>
      <c r="T445" s="347">
        <v>27</v>
      </c>
      <c r="U445" s="435" t="str">
        <f>U444</f>
        <v>ITEM DE ADITIVO</v>
      </c>
      <c r="V445" s="306">
        <f>V449</f>
        <v>22</v>
      </c>
    </row>
    <row r="446" spans="1:27" s="222" customFormat="1">
      <c r="A446" s="1106"/>
      <c r="B446" s="1456"/>
      <c r="C446" s="1631" t="s">
        <v>174</v>
      </c>
      <c r="D446" s="1632">
        <v>42</v>
      </c>
      <c r="E446" s="1244" t="str">
        <f>E319</f>
        <v>+</v>
      </c>
      <c r="F446" s="1633">
        <f>F319</f>
        <v>12</v>
      </c>
      <c r="G446" s="1632">
        <v>43</v>
      </c>
      <c r="H446" s="1244" t="str">
        <f>H319</f>
        <v>+</v>
      </c>
      <c r="I446" s="1633">
        <v>14</v>
      </c>
      <c r="J446" s="760" t="s">
        <v>300</v>
      </c>
      <c r="K446" s="1517">
        <f>(G446-D446)*20+I446-F446</f>
        <v>22</v>
      </c>
      <c r="L446" s="1245"/>
      <c r="M446" s="1245"/>
      <c r="N446" s="1245"/>
      <c r="O446" s="1634"/>
      <c r="P446" s="1245"/>
      <c r="Q446" s="1634"/>
      <c r="R446" s="962">
        <f t="shared" si="41"/>
        <v>22</v>
      </c>
      <c r="S446" s="1246" t="s">
        <v>144</v>
      </c>
      <c r="T446" s="874">
        <v>28</v>
      </c>
      <c r="U446" s="768" t="str">
        <f>U445</f>
        <v>ITEM DE ADITIVO</v>
      </c>
      <c r="V446" s="174">
        <f ca="1">V450</f>
        <v>0</v>
      </c>
    </row>
    <row r="447" spans="1:27" s="118" customFormat="1">
      <c r="A447" s="1106"/>
      <c r="B447" s="239"/>
      <c r="C447" s="1603"/>
      <c r="D447" s="2527" t="s">
        <v>257</v>
      </c>
      <c r="E447" s="2528"/>
      <c r="F447" s="2528"/>
      <c r="G447" s="2528"/>
      <c r="H447" s="2528"/>
      <c r="I447" s="2529"/>
      <c r="J447" s="2490">
        <f>VLOOKUP(A449,'11 - FINANCEIRA'!$A$16:$AE$156,30,FALSE)</f>
        <v>283</v>
      </c>
      <c r="K447" s="2491"/>
      <c r="L447" s="309" t="str">
        <f>VLOOKUP(A449,'11 - FINANCEIRA'!_xlnm.Print_Area,4,FALSE)</f>
        <v>m</v>
      </c>
      <c r="M447" s="2556" t="s">
        <v>258</v>
      </c>
      <c r="N447" s="2557"/>
      <c r="O447" s="2557"/>
      <c r="P447" s="2557"/>
      <c r="Q447" s="2558"/>
      <c r="R447" s="248">
        <f>SUM(R440:R446)</f>
        <v>281</v>
      </c>
      <c r="S447" s="310" t="str">
        <f>L447</f>
        <v>m</v>
      </c>
      <c r="T447" s="321"/>
      <c r="U447" s="322"/>
      <c r="V447" s="174">
        <f t="shared" si="40"/>
        <v>22</v>
      </c>
    </row>
    <row r="448" spans="1:27" s="118" customFormat="1">
      <c r="A448" s="1106" t="s">
        <v>37</v>
      </c>
      <c r="B448" s="1123"/>
      <c r="C448" s="2182"/>
      <c r="D448" s="2521" t="s">
        <v>259</v>
      </c>
      <c r="E448" s="2522"/>
      <c r="F448" s="2522"/>
      <c r="G448" s="2522"/>
      <c r="H448" s="2522"/>
      <c r="I448" s="2523"/>
      <c r="J448" s="2515">
        <f>R447/J447</f>
        <v>0.99293286219081267</v>
      </c>
      <c r="K448" s="2516"/>
      <c r="L448" s="2554"/>
      <c r="M448" s="2556" t="s">
        <v>260</v>
      </c>
      <c r="N448" s="2557"/>
      <c r="O448" s="2557"/>
      <c r="P448" s="2557"/>
      <c r="Q448" s="2558"/>
      <c r="R448" s="248">
        <f>VLOOKUP(A449,'11 - FINANCEIRA'!_xlnm.Print_Area,8,FALSE)</f>
        <v>259</v>
      </c>
      <c r="S448" s="249" t="str">
        <f>L447</f>
        <v>m</v>
      </c>
      <c r="T448" s="244"/>
      <c r="U448" s="1124"/>
      <c r="V448" s="174">
        <f t="shared" si="40"/>
        <v>22</v>
      </c>
    </row>
    <row r="449" spans="1:27" s="118" customFormat="1">
      <c r="A449" s="1106" t="s">
        <v>38</v>
      </c>
      <c r="B449" s="250"/>
      <c r="C449" s="598"/>
      <c r="D449" s="2539"/>
      <c r="E449" s="2540"/>
      <c r="F449" s="2540"/>
      <c r="G449" s="2540"/>
      <c r="H449" s="2540"/>
      <c r="I449" s="2541"/>
      <c r="J449" s="2517"/>
      <c r="K449" s="2518"/>
      <c r="L449" s="2555"/>
      <c r="M449" s="2556" t="s">
        <v>261</v>
      </c>
      <c r="N449" s="2557"/>
      <c r="O449" s="2557"/>
      <c r="P449" s="2557"/>
      <c r="Q449" s="2558"/>
      <c r="R449" s="248">
        <f>R447-R448</f>
        <v>22</v>
      </c>
      <c r="S449" s="249" t="str">
        <f>L447</f>
        <v>m</v>
      </c>
      <c r="T449" s="562"/>
      <c r="U449" s="563"/>
      <c r="V449" s="174">
        <f>R449</f>
        <v>22</v>
      </c>
    </row>
    <row r="450" spans="1:27" s="40" customFormat="1" hidden="1">
      <c r="A450" s="1106"/>
      <c r="B450" s="253"/>
      <c r="C450" s="2062"/>
      <c r="D450" s="2063"/>
      <c r="E450" s="2064"/>
      <c r="F450" s="2063"/>
      <c r="G450" s="2063"/>
      <c r="H450" s="2063"/>
      <c r="I450" s="2063"/>
      <c r="J450" s="2065"/>
      <c r="K450" s="2066"/>
      <c r="L450" s="2067"/>
      <c r="M450" s="2068"/>
      <c r="N450" s="2068"/>
      <c r="O450" s="2068"/>
      <c r="P450" s="2068"/>
      <c r="Q450" s="2068"/>
      <c r="R450" s="2069"/>
      <c r="S450" s="2070"/>
      <c r="T450" s="562"/>
      <c r="U450" s="563"/>
      <c r="V450" s="265">
        <f ca="1">SUM(V438:V449)</f>
        <v>0</v>
      </c>
    </row>
    <row r="451" spans="1:27" s="176" customFormat="1" hidden="1">
      <c r="A451" s="1106"/>
      <c r="B451" s="2463">
        <f>VLOOKUP(A459,'11 - FINANCEIRA'!_xlnm.Print_Area,2,FALSE)</f>
        <v>97627</v>
      </c>
      <c r="C451" s="2644" t="str">
        <f>VLOOKUP(A459,'11 - FINANCEIRA'!_xlnm.Print_Area,3,FALSE)</f>
        <v>Demolição de pilares e vigas de concreto armado, de forma mecanizada com martelete, sem reaproveitamento AF_12/2017</v>
      </c>
      <c r="D451" s="2472" t="s">
        <v>242</v>
      </c>
      <c r="E451" s="2473"/>
      <c r="F451" s="2473"/>
      <c r="G451" s="2473"/>
      <c r="H451" s="2473"/>
      <c r="I451" s="2474"/>
      <c r="J451" s="2467" t="s">
        <v>243</v>
      </c>
      <c r="K451" s="2467" t="s">
        <v>244</v>
      </c>
      <c r="L451" s="2467" t="s">
        <v>245</v>
      </c>
      <c r="M451" s="2467" t="s">
        <v>246</v>
      </c>
      <c r="N451" s="2467" t="s">
        <v>247</v>
      </c>
      <c r="O451" s="2467" t="s">
        <v>248</v>
      </c>
      <c r="P451" s="173" t="s">
        <v>249</v>
      </c>
      <c r="Q451" s="2579" t="s">
        <v>139</v>
      </c>
      <c r="R451" s="2579" t="s">
        <v>139</v>
      </c>
      <c r="S451" s="2467" t="s">
        <v>251</v>
      </c>
      <c r="T451" s="2467" t="s">
        <v>252</v>
      </c>
      <c r="U451" s="2584" t="s">
        <v>253</v>
      </c>
      <c r="V451" s="174">
        <f t="shared" ref="V451:V458" si="44">V452</f>
        <v>0</v>
      </c>
      <c r="W451" s="175"/>
      <c r="X451" s="175"/>
      <c r="Y451" s="175"/>
      <c r="Z451" s="175"/>
      <c r="AA451" s="175"/>
    </row>
    <row r="452" spans="1:27" s="176" customFormat="1" hidden="1">
      <c r="A452" s="1106"/>
      <c r="B452" s="2464" t="e">
        <f>LEFT(#REF!,5)</f>
        <v>#REF!</v>
      </c>
      <c r="C452" s="2645" t="e">
        <f>VLOOKUP(LEFT(#REF!,5),'11 - FINANCEIRA'!_xlnm.Print_Area,2,FALSE)</f>
        <v>#REF!</v>
      </c>
      <c r="D452" s="2475" t="s">
        <v>254</v>
      </c>
      <c r="E452" s="2476"/>
      <c r="F452" s="2477"/>
      <c r="G452" s="2469" t="s">
        <v>255</v>
      </c>
      <c r="H452" s="2470"/>
      <c r="I452" s="2471"/>
      <c r="J452" s="2468"/>
      <c r="K452" s="2468"/>
      <c r="L452" s="2468"/>
      <c r="M452" s="2468"/>
      <c r="N452" s="2468"/>
      <c r="O452" s="2468"/>
      <c r="P452" s="177" t="s">
        <v>256</v>
      </c>
      <c r="Q452" s="2580"/>
      <c r="R452" s="2580"/>
      <c r="S452" s="2468"/>
      <c r="T452" s="2468"/>
      <c r="U452" s="2585"/>
      <c r="V452" s="174">
        <f t="shared" si="44"/>
        <v>0</v>
      </c>
      <c r="W452" s="175"/>
      <c r="X452" s="175"/>
      <c r="Y452" s="175"/>
      <c r="Z452" s="175"/>
      <c r="AA452" s="175"/>
    </row>
    <row r="453" spans="1:27" s="176" customFormat="1" hidden="1">
      <c r="A453" s="1110"/>
      <c r="B453" s="336"/>
      <c r="C453" s="266" t="s">
        <v>315</v>
      </c>
      <c r="D453" s="485"/>
      <c r="E453" s="470"/>
      <c r="F453" s="486"/>
      <c r="G453" s="487"/>
      <c r="H453" s="473"/>
      <c r="I453" s="488"/>
      <c r="J453" s="275"/>
      <c r="K453" s="275">
        <v>8.83</v>
      </c>
      <c r="L453" s="489">
        <f>N453/K453</f>
        <v>3.8844847112117775</v>
      </c>
      <c r="M453" s="275">
        <v>0.2</v>
      </c>
      <c r="N453" s="275">
        <v>34.299999999999997</v>
      </c>
      <c r="O453" s="275">
        <v>6.8599999999999994</v>
      </c>
      <c r="P453" s="338"/>
      <c r="Q453" s="275"/>
      <c r="R453" s="191">
        <v>6.8599999999999994</v>
      </c>
      <c r="S453" s="275" t="s">
        <v>164</v>
      </c>
      <c r="T453" s="276" t="s">
        <v>316</v>
      </c>
      <c r="U453" s="490" t="s">
        <v>317</v>
      </c>
      <c r="V453" s="306">
        <f t="shared" si="44"/>
        <v>0</v>
      </c>
      <c r="W453" s="175"/>
      <c r="X453" s="175"/>
      <c r="Y453" s="175"/>
      <c r="Z453" s="175"/>
      <c r="AA453" s="175"/>
    </row>
    <row r="454" spans="1:27" s="176" customFormat="1" hidden="1">
      <c r="A454" s="1110"/>
      <c r="B454" s="296"/>
      <c r="C454" s="179" t="s">
        <v>315</v>
      </c>
      <c r="D454" s="297"/>
      <c r="E454" s="298"/>
      <c r="F454" s="299"/>
      <c r="G454" s="300"/>
      <c r="H454" s="301"/>
      <c r="I454" s="302"/>
      <c r="J454" s="192"/>
      <c r="K454" s="297">
        <v>8.83</v>
      </c>
      <c r="L454" s="192">
        <v>0.2</v>
      </c>
      <c r="M454" s="299">
        <v>0.5</v>
      </c>
      <c r="N454" s="298">
        <f>K454*L454</f>
        <v>1.766</v>
      </c>
      <c r="O454" s="491">
        <f>N454*M454</f>
        <v>0.88300000000000001</v>
      </c>
      <c r="P454" s="303"/>
      <c r="Q454" s="299">
        <v>2</v>
      </c>
      <c r="R454" s="304">
        <v>1.766</v>
      </c>
      <c r="S454" s="192" t="s">
        <v>164</v>
      </c>
      <c r="T454" s="193" t="s">
        <v>318</v>
      </c>
      <c r="U454" s="492" t="s">
        <v>319</v>
      </c>
      <c r="V454" s="306">
        <f t="shared" si="44"/>
        <v>0</v>
      </c>
      <c r="W454" s="175"/>
      <c r="X454" s="175"/>
      <c r="Y454" s="175"/>
      <c r="Z454" s="175"/>
      <c r="AA454" s="175"/>
    </row>
    <row r="455" spans="1:27" s="222" customFormat="1" hidden="1">
      <c r="A455" s="1105"/>
      <c r="B455" s="206"/>
      <c r="C455" s="287"/>
      <c r="D455" s="288"/>
      <c r="E455" s="289"/>
      <c r="F455" s="290"/>
      <c r="G455" s="288"/>
      <c r="H455" s="289"/>
      <c r="I455" s="290"/>
      <c r="J455" s="201"/>
      <c r="K455" s="291"/>
      <c r="L455" s="291"/>
      <c r="M455" s="291"/>
      <c r="N455" s="291"/>
      <c r="O455" s="292"/>
      <c r="P455" s="291"/>
      <c r="Q455" s="292"/>
      <c r="R455" s="218"/>
      <c r="S455" s="293"/>
      <c r="T455" s="204"/>
      <c r="U455" s="484"/>
      <c r="V455" s="174">
        <f t="shared" si="44"/>
        <v>0</v>
      </c>
    </row>
    <row r="456" spans="1:27" s="222" customFormat="1" hidden="1">
      <c r="A456" s="1106"/>
      <c r="B456" s="223"/>
      <c r="C456" s="224"/>
      <c r="D456" s="225"/>
      <c r="E456" s="226"/>
      <c r="F456" s="227"/>
      <c r="G456" s="225"/>
      <c r="H456" s="226"/>
      <c r="I456" s="227"/>
      <c r="J456" s="228"/>
      <c r="K456" s="229"/>
      <c r="L456" s="230"/>
      <c r="M456" s="231"/>
      <c r="N456" s="232"/>
      <c r="O456" s="233"/>
      <c r="P456" s="230"/>
      <c r="Q456" s="234"/>
      <c r="R456" s="235"/>
      <c r="S456" s="236"/>
      <c r="T456" s="294"/>
      <c r="U456" s="238"/>
      <c r="V456" s="174">
        <f t="shared" si="44"/>
        <v>0</v>
      </c>
    </row>
    <row r="457" spans="1:27" s="40" customFormat="1" hidden="1">
      <c r="A457" s="1106"/>
      <c r="B457" s="246"/>
      <c r="C457" s="240"/>
      <c r="D457" s="2527" t="s">
        <v>257</v>
      </c>
      <c r="E457" s="2528"/>
      <c r="F457" s="2528"/>
      <c r="G457" s="2528"/>
      <c r="H457" s="2528"/>
      <c r="I457" s="2529"/>
      <c r="J457" s="2488">
        <f>VLOOKUP(A459,'11 - FINANCEIRA'!$A$16:$AE$156,30,FALSE)</f>
        <v>162.21</v>
      </c>
      <c r="K457" s="2489"/>
      <c r="L457" s="309" t="str">
        <f>VLOOKUP(A459,'11 - FINANCEIRA'!_xlnm.Print_Area,4,FALSE)</f>
        <v>m³</v>
      </c>
      <c r="M457" s="2556" t="s">
        <v>258</v>
      </c>
      <c r="N457" s="2557"/>
      <c r="O457" s="2557"/>
      <c r="P457" s="2557"/>
      <c r="Q457" s="2558"/>
      <c r="R457" s="248">
        <f>SUM(R453:R456)</f>
        <v>8.6259999999999994</v>
      </c>
      <c r="S457" s="310" t="str">
        <f>L457</f>
        <v>m³</v>
      </c>
      <c r="T457" s="244"/>
      <c r="U457" s="245"/>
      <c r="V457" s="174">
        <f t="shared" si="44"/>
        <v>0</v>
      </c>
    </row>
    <row r="458" spans="1:27" s="40" customFormat="1" hidden="1">
      <c r="A458" s="1106"/>
      <c r="B458" s="246"/>
      <c r="C458" s="247"/>
      <c r="D458" s="2521" t="s">
        <v>259</v>
      </c>
      <c r="E458" s="2522"/>
      <c r="F458" s="2522"/>
      <c r="G458" s="2522"/>
      <c r="H458" s="2522"/>
      <c r="I458" s="2523"/>
      <c r="J458" s="2515">
        <f>R457/J457</f>
        <v>5.3177979162813631E-2</v>
      </c>
      <c r="K458" s="2516"/>
      <c r="L458" s="2554"/>
      <c r="M458" s="2556" t="s">
        <v>260</v>
      </c>
      <c r="N458" s="2557"/>
      <c r="O458" s="2557"/>
      <c r="P458" s="2557"/>
      <c r="Q458" s="2558"/>
      <c r="R458" s="248">
        <f>VLOOKUP(A459,'11 - FINANCEIRA'!_xlnm.Print_Area,8,FALSE)</f>
        <v>8.6259999999999994</v>
      </c>
      <c r="S458" s="249" t="str">
        <f>L457</f>
        <v>m³</v>
      </c>
      <c r="T458" s="244"/>
      <c r="U458" s="245"/>
      <c r="V458" s="174">
        <f t="shared" si="44"/>
        <v>0</v>
      </c>
    </row>
    <row r="459" spans="1:27" s="40" customFormat="1" hidden="1">
      <c r="A459" s="1106" t="s">
        <v>40</v>
      </c>
      <c r="B459" s="246"/>
      <c r="C459" s="240"/>
      <c r="D459" s="2524"/>
      <c r="E459" s="2525"/>
      <c r="F459" s="2525"/>
      <c r="G459" s="2525"/>
      <c r="H459" s="2525"/>
      <c r="I459" s="2526"/>
      <c r="J459" s="2519"/>
      <c r="K459" s="2520"/>
      <c r="L459" s="2570"/>
      <c r="M459" s="2574" t="s">
        <v>261</v>
      </c>
      <c r="N459" s="2575"/>
      <c r="O459" s="2575"/>
      <c r="P459" s="2575"/>
      <c r="Q459" s="2576"/>
      <c r="R459" s="251">
        <f>R457-R458</f>
        <v>0</v>
      </c>
      <c r="S459" s="252" t="str">
        <f>L457</f>
        <v>m³</v>
      </c>
      <c r="T459" s="244"/>
      <c r="U459" s="245"/>
      <c r="V459" s="174">
        <f>R459</f>
        <v>0</v>
      </c>
    </row>
    <row r="460" spans="1:27" s="40" customFormat="1" hidden="1">
      <c r="A460" s="1106"/>
      <c r="B460" s="311"/>
      <c r="C460" s="312"/>
      <c r="D460" s="313"/>
      <c r="E460" s="314"/>
      <c r="F460" s="313"/>
      <c r="G460" s="313"/>
      <c r="H460" s="313"/>
      <c r="I460" s="313"/>
      <c r="J460" s="315"/>
      <c r="K460" s="316"/>
      <c r="L460" s="317"/>
      <c r="M460" s="318"/>
      <c r="N460" s="318"/>
      <c r="O460" s="318"/>
      <c r="P460" s="318"/>
      <c r="Q460" s="318"/>
      <c r="R460" s="319"/>
      <c r="S460" s="320"/>
      <c r="T460" s="321"/>
      <c r="U460" s="322"/>
      <c r="V460" s="265">
        <f>SUM(V451:V459)</f>
        <v>0</v>
      </c>
    </row>
    <row r="461" spans="1:27" s="176" customFormat="1">
      <c r="A461" s="1106"/>
      <c r="B461" s="2463">
        <f>VLOOKUP(A469,'11 - FINANCEIRA'!_xlnm.Print_Area,2,FALSE)</f>
        <v>10325</v>
      </c>
      <c r="C461" s="2465" t="str">
        <f>VLOOKUP(A469,'11 - FINANCEIRA'!_xlnm.Print_Area,3,FALSE)</f>
        <v xml:space="preserve">Demolição de estrutura de madeira </v>
      </c>
      <c r="D461" s="2472" t="s">
        <v>242</v>
      </c>
      <c r="E461" s="2473"/>
      <c r="F461" s="2473"/>
      <c r="G461" s="2473"/>
      <c r="H461" s="2473"/>
      <c r="I461" s="2474"/>
      <c r="J461" s="2467" t="s">
        <v>243</v>
      </c>
      <c r="K461" s="2467" t="s">
        <v>244</v>
      </c>
      <c r="L461" s="2467" t="s">
        <v>245</v>
      </c>
      <c r="M461" s="2467" t="s">
        <v>246</v>
      </c>
      <c r="N461" s="2467" t="s">
        <v>247</v>
      </c>
      <c r="O461" s="2467" t="s">
        <v>248</v>
      </c>
      <c r="P461" s="173" t="s">
        <v>249</v>
      </c>
      <c r="Q461" s="2467" t="s">
        <v>250</v>
      </c>
      <c r="R461" s="2579" t="s">
        <v>139</v>
      </c>
      <c r="S461" s="2467" t="s">
        <v>251</v>
      </c>
      <c r="T461" s="2467" t="s">
        <v>252</v>
      </c>
      <c r="U461" s="2584" t="s">
        <v>253</v>
      </c>
      <c r="V461" s="174">
        <f t="shared" ref="V461:V468" si="45">V462</f>
        <v>29</v>
      </c>
      <c r="W461" s="175"/>
      <c r="X461" s="175"/>
      <c r="Y461" s="175"/>
      <c r="Z461" s="175"/>
      <c r="AA461" s="175"/>
    </row>
    <row r="462" spans="1:27" s="176" customFormat="1">
      <c r="A462" s="1106"/>
      <c r="B462" s="2464" t="e">
        <f>LEFT(#REF!,5)</f>
        <v>#REF!</v>
      </c>
      <c r="C462" s="2466" t="e">
        <f>VLOOKUP(LEFT(#REF!,5),'11 - FINANCEIRA'!_xlnm.Print_Area,2,FALSE)</f>
        <v>#REF!</v>
      </c>
      <c r="D462" s="2475" t="s">
        <v>254</v>
      </c>
      <c r="E462" s="2476"/>
      <c r="F462" s="2477"/>
      <c r="G462" s="2469" t="s">
        <v>255</v>
      </c>
      <c r="H462" s="2470"/>
      <c r="I462" s="2471"/>
      <c r="J462" s="2468"/>
      <c r="K462" s="2468"/>
      <c r="L462" s="2468"/>
      <c r="M462" s="2468"/>
      <c r="N462" s="2468"/>
      <c r="O462" s="2468"/>
      <c r="P462" s="177" t="s">
        <v>256</v>
      </c>
      <c r="Q462" s="2468"/>
      <c r="R462" s="2580"/>
      <c r="S462" s="2468"/>
      <c r="T462" s="2468"/>
      <c r="U462" s="2585"/>
      <c r="V462" s="174">
        <f t="shared" si="45"/>
        <v>29</v>
      </c>
      <c r="W462" s="175"/>
      <c r="X462" s="175"/>
      <c r="Y462" s="175"/>
      <c r="Z462" s="175"/>
      <c r="AA462" s="175"/>
    </row>
    <row r="463" spans="1:27" s="176" customFormat="1">
      <c r="A463" s="1106"/>
      <c r="B463" s="1468"/>
      <c r="C463" s="516" t="s">
        <v>1162</v>
      </c>
      <c r="D463" s="327">
        <v>31</v>
      </c>
      <c r="E463" s="328" t="s">
        <v>299</v>
      </c>
      <c r="F463" s="329">
        <v>10</v>
      </c>
      <c r="G463" s="330"/>
      <c r="H463" s="331"/>
      <c r="I463" s="332"/>
      <c r="J463" s="333"/>
      <c r="K463" s="333"/>
      <c r="L463" s="333"/>
      <c r="M463" s="333"/>
      <c r="N463" s="333"/>
      <c r="O463" s="333"/>
      <c r="P463" s="334"/>
      <c r="Q463" s="333"/>
      <c r="R463" s="517">
        <v>14.5</v>
      </c>
      <c r="S463" s="333" t="s">
        <v>477</v>
      </c>
      <c r="T463" s="518">
        <v>28</v>
      </c>
      <c r="U463" s="1611"/>
      <c r="V463" s="174">
        <f t="shared" si="45"/>
        <v>29</v>
      </c>
      <c r="W463" s="175"/>
      <c r="X463" s="175"/>
      <c r="Y463" s="175"/>
      <c r="Z463" s="175"/>
      <c r="AA463" s="175"/>
    </row>
    <row r="464" spans="1:27" s="176" customFormat="1">
      <c r="A464" s="1106"/>
      <c r="B464" s="1490"/>
      <c r="C464" s="2212" t="s">
        <v>1163</v>
      </c>
      <c r="D464" s="2213"/>
      <c r="E464" s="1759"/>
      <c r="F464" s="2214"/>
      <c r="G464" s="2197"/>
      <c r="H464" s="2198"/>
      <c r="I464" s="2199"/>
      <c r="J464" s="1752"/>
      <c r="K464" s="2213"/>
      <c r="L464" s="1752"/>
      <c r="M464" s="2214"/>
      <c r="N464" s="1759"/>
      <c r="O464" s="2213"/>
      <c r="P464" s="1753"/>
      <c r="Q464" s="2214"/>
      <c r="R464" s="2215">
        <v>14.5</v>
      </c>
      <c r="S464" s="1752" t="s">
        <v>477</v>
      </c>
      <c r="T464" s="1754">
        <v>28</v>
      </c>
      <c r="U464" s="2200"/>
      <c r="V464" s="174">
        <f t="shared" si="45"/>
        <v>29</v>
      </c>
      <c r="W464" s="175"/>
      <c r="X464" s="175"/>
      <c r="Y464" s="175"/>
      <c r="Z464" s="175"/>
      <c r="AA464" s="175"/>
    </row>
    <row r="465" spans="1:27" s="222" customFormat="1" hidden="1">
      <c r="A465" s="1105"/>
      <c r="B465" s="2052"/>
      <c r="C465" s="1304"/>
      <c r="D465" s="2053"/>
      <c r="E465" s="2054"/>
      <c r="F465" s="2055"/>
      <c r="G465" s="2053"/>
      <c r="H465" s="2054"/>
      <c r="I465" s="2055"/>
      <c r="J465" s="2025"/>
      <c r="K465" s="2057"/>
      <c r="L465" s="2057"/>
      <c r="M465" s="2057"/>
      <c r="N465" s="2057"/>
      <c r="O465" s="2061"/>
      <c r="P465" s="2057"/>
      <c r="Q465" s="2061"/>
      <c r="R465" s="2060"/>
      <c r="S465" s="2058"/>
      <c r="T465" s="2028"/>
      <c r="U465" s="2021"/>
      <c r="V465" s="174">
        <f t="shared" si="45"/>
        <v>29</v>
      </c>
    </row>
    <row r="466" spans="1:27" s="222" customFormat="1">
      <c r="A466" s="1106"/>
      <c r="B466" s="1700"/>
      <c r="C466" s="1701"/>
      <c r="D466" s="2202"/>
      <c r="E466" s="2203"/>
      <c r="F466" s="2204"/>
      <c r="G466" s="2202"/>
      <c r="H466" s="2203"/>
      <c r="I466" s="2204"/>
      <c r="J466" s="2205"/>
      <c r="K466" s="2216"/>
      <c r="L466" s="2206"/>
      <c r="M466" s="2217"/>
      <c r="N466" s="2218"/>
      <c r="O466" s="2219"/>
      <c r="P466" s="2206"/>
      <c r="Q466" s="2220"/>
      <c r="R466" s="2208"/>
      <c r="S466" s="2207"/>
      <c r="T466" s="2209"/>
      <c r="U466" s="2210"/>
      <c r="V466" s="174">
        <f t="shared" si="45"/>
        <v>29</v>
      </c>
    </row>
    <row r="467" spans="1:27" s="40" customFormat="1">
      <c r="A467" s="1106"/>
      <c r="B467" s="1123"/>
      <c r="C467" s="240"/>
      <c r="D467" s="2527" t="s">
        <v>257</v>
      </c>
      <c r="E467" s="2528"/>
      <c r="F467" s="2528"/>
      <c r="G467" s="2528"/>
      <c r="H467" s="2528"/>
      <c r="I467" s="2529"/>
      <c r="J467" s="2488">
        <f>VLOOKUP(A469,'11 - FINANCEIRA'!$A$16:$AE$156,30,FALSE)</f>
        <v>29</v>
      </c>
      <c r="K467" s="2489"/>
      <c r="L467" s="309" t="str">
        <f>VLOOKUP(A469,'11 - FINANCEIRA'!_xlnm.Print_Area,4,FALSE)</f>
        <v>m²</v>
      </c>
      <c r="M467" s="2556" t="s">
        <v>258</v>
      </c>
      <c r="N467" s="2557"/>
      <c r="O467" s="2557"/>
      <c r="P467" s="2557"/>
      <c r="Q467" s="2558"/>
      <c r="R467" s="248">
        <f>SUM(R463:R466)</f>
        <v>29</v>
      </c>
      <c r="S467" s="310" t="str">
        <f>L467</f>
        <v>m²</v>
      </c>
      <c r="T467" s="244"/>
      <c r="U467" s="1124"/>
      <c r="V467" s="174">
        <f t="shared" si="45"/>
        <v>29</v>
      </c>
    </row>
    <row r="468" spans="1:27" s="40" customFormat="1">
      <c r="A468" s="1106"/>
      <c r="B468" s="1123"/>
      <c r="C468" s="2182"/>
      <c r="D468" s="2521" t="s">
        <v>259</v>
      </c>
      <c r="E468" s="2522"/>
      <c r="F468" s="2522"/>
      <c r="G468" s="2522"/>
      <c r="H468" s="2522"/>
      <c r="I468" s="2523"/>
      <c r="J468" s="2515">
        <f>R467/J467</f>
        <v>1</v>
      </c>
      <c r="K468" s="2516"/>
      <c r="L468" s="2554"/>
      <c r="M468" s="2556" t="s">
        <v>260</v>
      </c>
      <c r="N468" s="2557"/>
      <c r="O468" s="2557"/>
      <c r="P468" s="2557"/>
      <c r="Q468" s="2558"/>
      <c r="R468" s="248">
        <f>VLOOKUP(A469,'11 - FINANCEIRA'!_xlnm.Print_Area,8,FALSE)</f>
        <v>0</v>
      </c>
      <c r="S468" s="249" t="str">
        <f>L467</f>
        <v>m²</v>
      </c>
      <c r="T468" s="244"/>
      <c r="U468" s="1124"/>
      <c r="V468" s="174">
        <f t="shared" si="45"/>
        <v>29</v>
      </c>
    </row>
    <row r="469" spans="1:27" s="40" customFormat="1">
      <c r="A469" s="1106" t="s">
        <v>41</v>
      </c>
      <c r="B469" s="250"/>
      <c r="C469" s="598"/>
      <c r="D469" s="2539"/>
      <c r="E469" s="2540"/>
      <c r="F469" s="2540"/>
      <c r="G469" s="2540"/>
      <c r="H469" s="2540"/>
      <c r="I469" s="2541"/>
      <c r="J469" s="2517"/>
      <c r="K469" s="2518"/>
      <c r="L469" s="2555"/>
      <c r="M469" s="2556" t="s">
        <v>261</v>
      </c>
      <c r="N469" s="2557"/>
      <c r="O469" s="2557"/>
      <c r="P469" s="2557"/>
      <c r="Q469" s="2558"/>
      <c r="R469" s="248">
        <f>R467-R468</f>
        <v>29</v>
      </c>
      <c r="S469" s="249" t="str">
        <f>L467</f>
        <v>m²</v>
      </c>
      <c r="T469" s="562"/>
      <c r="U469" s="563"/>
      <c r="V469" s="174">
        <f>R469</f>
        <v>29</v>
      </c>
    </row>
    <row r="470" spans="1:27" s="40" customFormat="1" hidden="1">
      <c r="A470" s="1106"/>
      <c r="B470" s="253"/>
      <c r="C470" s="2062"/>
      <c r="D470" s="2063"/>
      <c r="E470" s="2064"/>
      <c r="F470" s="2063"/>
      <c r="G470" s="2063"/>
      <c r="H470" s="2063"/>
      <c r="I470" s="2063"/>
      <c r="J470" s="2065"/>
      <c r="K470" s="2066"/>
      <c r="L470" s="2067"/>
      <c r="M470" s="2068"/>
      <c r="N470" s="2068"/>
      <c r="O470" s="2068"/>
      <c r="P470" s="2068"/>
      <c r="Q470" s="2068"/>
      <c r="R470" s="2069"/>
      <c r="S470" s="2070"/>
      <c r="T470" s="562"/>
      <c r="U470" s="563"/>
      <c r="V470" s="265">
        <f>SUM(V461:V469)</f>
        <v>261</v>
      </c>
    </row>
    <row r="471" spans="1:27" s="176" customFormat="1" ht="24" hidden="1" customHeight="1">
      <c r="A471" s="1104"/>
      <c r="B471" s="2463">
        <f>VLOOKUP(A479,'11 - FINANCEIRA'!_xlnm.Print_Area,2,FALSE)</f>
        <v>30304</v>
      </c>
      <c r="C471" s="2644" t="str">
        <f>VLOOKUP(A479,'11 - FINANCEIRA'!_xlnm.Print_Area,3,FALSE)</f>
        <v>Índice de preço para remoção de entulho decorrente da execução de obras  - Material demolido - BDI = 14,02null - DMT = 2,50</v>
      </c>
      <c r="D471" s="2472" t="s">
        <v>242</v>
      </c>
      <c r="E471" s="2473"/>
      <c r="F471" s="2473"/>
      <c r="G471" s="2473"/>
      <c r="H471" s="2473"/>
      <c r="I471" s="2474"/>
      <c r="J471" s="2467" t="s">
        <v>243</v>
      </c>
      <c r="K471" s="2467" t="s">
        <v>244</v>
      </c>
      <c r="L471" s="2467" t="s">
        <v>245</v>
      </c>
      <c r="M471" s="2467" t="s">
        <v>246</v>
      </c>
      <c r="N471" s="2467" t="s">
        <v>247</v>
      </c>
      <c r="O471" s="2467" t="s">
        <v>248</v>
      </c>
      <c r="P471" s="173" t="s">
        <v>249</v>
      </c>
      <c r="Q471" s="2467" t="s">
        <v>250</v>
      </c>
      <c r="R471" s="2579" t="s">
        <v>139</v>
      </c>
      <c r="S471" s="2467" t="s">
        <v>251</v>
      </c>
      <c r="T471" s="2467" t="s">
        <v>252</v>
      </c>
      <c r="U471" s="2584" t="s">
        <v>253</v>
      </c>
      <c r="V471" s="174">
        <f t="shared" ref="V471:V478" si="46">V472</f>
        <v>0</v>
      </c>
      <c r="W471" s="175"/>
      <c r="X471" s="175"/>
      <c r="Y471" s="175"/>
      <c r="Z471" s="175"/>
      <c r="AA471" s="175"/>
    </row>
    <row r="472" spans="1:27" s="176" customFormat="1" ht="24" hidden="1" customHeight="1">
      <c r="A472" s="1104"/>
      <c r="B472" s="2464" t="e">
        <f>LEFT(#REF!,5)</f>
        <v>#REF!</v>
      </c>
      <c r="C472" s="2645" t="e">
        <f>VLOOKUP(LEFT(#REF!,5),'11 - FINANCEIRA'!_xlnm.Print_Area,2,FALSE)</f>
        <v>#REF!</v>
      </c>
      <c r="D472" s="2475" t="s">
        <v>254</v>
      </c>
      <c r="E472" s="2476"/>
      <c r="F472" s="2477"/>
      <c r="G472" s="2469" t="s">
        <v>255</v>
      </c>
      <c r="H472" s="2470"/>
      <c r="I472" s="2471"/>
      <c r="J472" s="2468"/>
      <c r="K472" s="2468"/>
      <c r="L472" s="2468"/>
      <c r="M472" s="2468"/>
      <c r="N472" s="2468"/>
      <c r="O472" s="2468"/>
      <c r="P472" s="177" t="s">
        <v>256</v>
      </c>
      <c r="Q472" s="2468"/>
      <c r="R472" s="2580"/>
      <c r="S472" s="2468"/>
      <c r="T472" s="2468"/>
      <c r="U472" s="2585"/>
      <c r="V472" s="174">
        <f t="shared" si="46"/>
        <v>0</v>
      </c>
      <c r="W472" s="175"/>
      <c r="X472" s="175"/>
      <c r="Y472" s="175"/>
      <c r="Z472" s="175"/>
      <c r="AA472" s="175"/>
    </row>
    <row r="473" spans="1:27" s="176" customFormat="1" hidden="1">
      <c r="A473" s="1104"/>
      <c r="B473" s="178"/>
      <c r="C473" s="307"/>
      <c r="D473" s="267"/>
      <c r="E473" s="268"/>
      <c r="F473" s="269"/>
      <c r="G473" s="270"/>
      <c r="H473" s="271"/>
      <c r="I473" s="272"/>
      <c r="J473" s="273"/>
      <c r="K473" s="273"/>
      <c r="L473" s="273"/>
      <c r="M473" s="273"/>
      <c r="N473" s="273"/>
      <c r="O473" s="273"/>
      <c r="P473" s="274"/>
      <c r="Q473" s="273"/>
      <c r="R473" s="308"/>
      <c r="S473" s="273"/>
      <c r="T473" s="276"/>
      <c r="U473" s="194"/>
      <c r="V473" s="174">
        <f t="shared" si="46"/>
        <v>0</v>
      </c>
      <c r="W473" s="175"/>
      <c r="X473" s="175"/>
      <c r="Y473" s="175"/>
      <c r="Z473" s="175"/>
      <c r="AA473" s="175"/>
    </row>
    <row r="474" spans="1:27" s="176" customFormat="1" hidden="1">
      <c r="A474" s="1104"/>
      <c r="B474" s="195"/>
      <c r="C474" s="277"/>
      <c r="D474" s="278"/>
      <c r="E474" s="279"/>
      <c r="F474" s="280"/>
      <c r="G474" s="281"/>
      <c r="H474" s="282"/>
      <c r="I474" s="283"/>
      <c r="J474" s="284"/>
      <c r="K474" s="278"/>
      <c r="L474" s="284"/>
      <c r="M474" s="280"/>
      <c r="N474" s="279"/>
      <c r="O474" s="278"/>
      <c r="P474" s="285"/>
      <c r="Q474" s="280"/>
      <c r="R474" s="203"/>
      <c r="S474" s="284"/>
      <c r="T474" s="286"/>
      <c r="U474" s="205"/>
      <c r="V474" s="174">
        <f t="shared" si="46"/>
        <v>0</v>
      </c>
      <c r="W474" s="175"/>
      <c r="X474" s="175"/>
      <c r="Y474" s="175"/>
      <c r="Z474" s="175"/>
      <c r="AA474" s="175"/>
    </row>
    <row r="475" spans="1:27" s="222" customFormat="1" hidden="1">
      <c r="A475" s="1105"/>
      <c r="B475" s="206"/>
      <c r="C475" s="287"/>
      <c r="D475" s="288"/>
      <c r="E475" s="289"/>
      <c r="F475" s="290"/>
      <c r="G475" s="288"/>
      <c r="H475" s="289"/>
      <c r="I475" s="290"/>
      <c r="J475" s="201"/>
      <c r="K475" s="291"/>
      <c r="L475" s="291"/>
      <c r="M475" s="291"/>
      <c r="N475" s="291"/>
      <c r="O475" s="292"/>
      <c r="P475" s="291"/>
      <c r="Q475" s="292"/>
      <c r="R475" s="218"/>
      <c r="S475" s="293"/>
      <c r="T475" s="204"/>
      <c r="U475" s="221"/>
      <c r="V475" s="174">
        <f t="shared" si="46"/>
        <v>0</v>
      </c>
    </row>
    <row r="476" spans="1:27" s="222" customFormat="1" hidden="1">
      <c r="A476" s="1105"/>
      <c r="B476" s="223"/>
      <c r="C476" s="224"/>
      <c r="D476" s="225"/>
      <c r="E476" s="226"/>
      <c r="F476" s="227"/>
      <c r="G476" s="225"/>
      <c r="H476" s="226"/>
      <c r="I476" s="227"/>
      <c r="J476" s="228"/>
      <c r="K476" s="229"/>
      <c r="L476" s="230"/>
      <c r="M476" s="231"/>
      <c r="N476" s="232"/>
      <c r="O476" s="233"/>
      <c r="P476" s="230"/>
      <c r="Q476" s="234"/>
      <c r="R476" s="235"/>
      <c r="S476" s="236"/>
      <c r="T476" s="294"/>
      <c r="U476" s="238"/>
      <c r="V476" s="174">
        <f t="shared" si="46"/>
        <v>0</v>
      </c>
    </row>
    <row r="477" spans="1:27" s="40" customFormat="1" hidden="1">
      <c r="A477" s="1106"/>
      <c r="B477" s="246"/>
      <c r="C477" s="240"/>
      <c r="D477" s="2527" t="s">
        <v>257</v>
      </c>
      <c r="E477" s="2528"/>
      <c r="F477" s="2528"/>
      <c r="G477" s="2528"/>
      <c r="H477" s="2528"/>
      <c r="I477" s="2529"/>
      <c r="J477" s="2488">
        <f>VLOOKUP(A479,'11 - FINANCEIRA'!$A$16:$AE$156,30,FALSE)</f>
        <v>191.21</v>
      </c>
      <c r="K477" s="2489"/>
      <c r="L477" s="309" t="str">
        <f>VLOOKUP(A479,'11 - FINANCEIRA'!_xlnm.Print_Area,4,FALSE)</f>
        <v>m³</v>
      </c>
      <c r="M477" s="2556" t="s">
        <v>258</v>
      </c>
      <c r="N477" s="2557"/>
      <c r="O477" s="2557"/>
      <c r="P477" s="2557"/>
      <c r="Q477" s="2558"/>
      <c r="R477" s="248">
        <f>SUM(R473:R476)</f>
        <v>0</v>
      </c>
      <c r="S477" s="310" t="str">
        <f>L477</f>
        <v>m³</v>
      </c>
      <c r="T477" s="244"/>
      <c r="U477" s="245"/>
      <c r="V477" s="174">
        <f t="shared" si="46"/>
        <v>0</v>
      </c>
    </row>
    <row r="478" spans="1:27" s="40" customFormat="1" hidden="1">
      <c r="A478" s="1106"/>
      <c r="B478" s="246"/>
      <c r="C478" s="247"/>
      <c r="D478" s="2521" t="s">
        <v>259</v>
      </c>
      <c r="E478" s="2522"/>
      <c r="F478" s="2522"/>
      <c r="G478" s="2522"/>
      <c r="H478" s="2522"/>
      <c r="I478" s="2523"/>
      <c r="J478" s="2515">
        <f>R477/J477</f>
        <v>0</v>
      </c>
      <c r="K478" s="2516"/>
      <c r="L478" s="2554"/>
      <c r="M478" s="2556" t="s">
        <v>260</v>
      </c>
      <c r="N478" s="2557"/>
      <c r="O478" s="2557"/>
      <c r="P478" s="2557"/>
      <c r="Q478" s="2558"/>
      <c r="R478" s="248">
        <f>VLOOKUP(A479,'11 - FINANCEIRA'!_xlnm.Print_Area,8,FALSE)</f>
        <v>0</v>
      </c>
      <c r="S478" s="249" t="str">
        <f>L477</f>
        <v>m³</v>
      </c>
      <c r="T478" s="244"/>
      <c r="U478" s="245"/>
      <c r="V478" s="174">
        <f t="shared" si="46"/>
        <v>0</v>
      </c>
    </row>
    <row r="479" spans="1:27" s="40" customFormat="1" hidden="1">
      <c r="A479" s="1106" t="s">
        <v>42</v>
      </c>
      <c r="B479" s="246"/>
      <c r="C479" s="240"/>
      <c r="D479" s="2524"/>
      <c r="E479" s="2525"/>
      <c r="F479" s="2525"/>
      <c r="G479" s="2525"/>
      <c r="H479" s="2525"/>
      <c r="I479" s="2526"/>
      <c r="J479" s="2519"/>
      <c r="K479" s="2520"/>
      <c r="L479" s="2570"/>
      <c r="M479" s="2574" t="s">
        <v>261</v>
      </c>
      <c r="N479" s="2575"/>
      <c r="O479" s="2575"/>
      <c r="P479" s="2575"/>
      <c r="Q479" s="2576"/>
      <c r="R479" s="251">
        <f>R477-R478</f>
        <v>0</v>
      </c>
      <c r="S479" s="252" t="str">
        <f>L477</f>
        <v>m³</v>
      </c>
      <c r="T479" s="244"/>
      <c r="U479" s="245"/>
      <c r="V479" s="174">
        <f>R479</f>
        <v>0</v>
      </c>
    </row>
    <row r="480" spans="1:27" s="40" customFormat="1" hidden="1">
      <c r="A480" s="1106"/>
      <c r="B480" s="311"/>
      <c r="C480" s="312"/>
      <c r="D480" s="313"/>
      <c r="E480" s="314"/>
      <c r="F480" s="313"/>
      <c r="G480" s="313"/>
      <c r="H480" s="313"/>
      <c r="I480" s="313"/>
      <c r="J480" s="315"/>
      <c r="K480" s="316"/>
      <c r="L480" s="317"/>
      <c r="M480" s="318"/>
      <c r="N480" s="318"/>
      <c r="O480" s="318"/>
      <c r="P480" s="318"/>
      <c r="Q480" s="318"/>
      <c r="R480" s="319"/>
      <c r="S480" s="320"/>
      <c r="T480" s="321"/>
      <c r="U480" s="322"/>
      <c r="V480" s="265">
        <f>SUM(V471:V479)</f>
        <v>0</v>
      </c>
    </row>
    <row r="481" spans="1:27" s="326" customFormat="1">
      <c r="A481" s="1770"/>
      <c r="B481" s="166" t="str">
        <f>LEFT(A494,11)</f>
        <v>2.4</v>
      </c>
      <c r="C481" s="167" t="str">
        <f>VLOOKUP(LEFT(A494,11),'11 - FINANCEIRA'!_xlnm.Print_Area,2,FALSE)</f>
        <v>Esgoto</v>
      </c>
      <c r="D481" s="167"/>
      <c r="E481" s="168"/>
      <c r="F481" s="167"/>
      <c r="G481" s="2696"/>
      <c r="H481" s="2696"/>
      <c r="I481" s="2696"/>
      <c r="J481" s="2696"/>
      <c r="K481" s="2696"/>
      <c r="L481" s="2696"/>
      <c r="M481" s="171"/>
      <c r="N481" s="172"/>
      <c r="O481" s="171"/>
      <c r="P481" s="171"/>
      <c r="Q481" s="171"/>
      <c r="R481" s="171"/>
      <c r="S481" s="171"/>
      <c r="T481" s="171"/>
      <c r="U481" s="493"/>
      <c r="V481" s="494" t="e">
        <f ca="1">SUM(V482:V525)</f>
        <v>#DIV/0!</v>
      </c>
    </row>
    <row r="482" spans="1:27" s="176" customFormat="1" ht="46.5" hidden="1" customHeight="1">
      <c r="A482" s="1106"/>
      <c r="B482" s="2624">
        <f>VLOOKUP(A495,'11 - FINANCEIRA'!_xlnm.Print_Area,2,FALSE)</f>
        <v>98430</v>
      </c>
      <c r="C482" s="2697" t="str">
        <f>VLOOKUP(A495,'11 - FINANCEIRA'!_xlnm.Print_Area,3,FALSE)</f>
        <v>Poço de vista circular para esgoto, em alvenaria com tijolos cerâmicos maciços, diâmetro interno =1,2M, profundidade até 1,50m, incluindo tampão de ferro fundido , diâmetro de 60cm.AF_04/2018</v>
      </c>
      <c r="D482" s="2626" t="s">
        <v>242</v>
      </c>
      <c r="E482" s="2627"/>
      <c r="F482" s="2627"/>
      <c r="G482" s="2627"/>
      <c r="H482" s="2627"/>
      <c r="I482" s="2628"/>
      <c r="J482" s="2532" t="s">
        <v>243</v>
      </c>
      <c r="K482" s="2532" t="s">
        <v>244</v>
      </c>
      <c r="L482" s="2532" t="s">
        <v>245</v>
      </c>
      <c r="M482" s="2532" t="s">
        <v>246</v>
      </c>
      <c r="N482" s="2532" t="s">
        <v>247</v>
      </c>
      <c r="O482" s="2532" t="s">
        <v>248</v>
      </c>
      <c r="P482" s="2532" t="s">
        <v>308</v>
      </c>
      <c r="Q482" s="2532" t="s">
        <v>250</v>
      </c>
      <c r="R482" s="2623" t="s">
        <v>139</v>
      </c>
      <c r="S482" s="2532" t="s">
        <v>251</v>
      </c>
      <c r="T482" s="2532" t="s">
        <v>252</v>
      </c>
      <c r="U482" s="2622" t="s">
        <v>253</v>
      </c>
      <c r="V482" s="418">
        <f t="shared" ref="V482:V494" ca="1" si="47">V483</f>
        <v>0</v>
      </c>
      <c r="W482" s="175"/>
      <c r="X482" s="175"/>
      <c r="Y482" s="175"/>
      <c r="Z482" s="175"/>
      <c r="AA482" s="175"/>
    </row>
    <row r="483" spans="1:27" s="176" customFormat="1" hidden="1">
      <c r="A483" s="1106"/>
      <c r="B483" s="2464" t="e">
        <f>LEFT(#REF!,5)</f>
        <v>#REF!</v>
      </c>
      <c r="C483" s="2630" t="e">
        <f>VLOOKUP(LEFT(#REF!,5),'11 - FINANCEIRA'!_xlnm.Print_Area,2,FALSE)</f>
        <v>#REF!</v>
      </c>
      <c r="D483" s="2475" t="s">
        <v>254</v>
      </c>
      <c r="E483" s="2476"/>
      <c r="F483" s="2477"/>
      <c r="G483" s="2469" t="s">
        <v>255</v>
      </c>
      <c r="H483" s="2470"/>
      <c r="I483" s="2471"/>
      <c r="J483" s="2468"/>
      <c r="K483" s="2468"/>
      <c r="L483" s="2468"/>
      <c r="M483" s="2468"/>
      <c r="N483" s="2468"/>
      <c r="O483" s="2468"/>
      <c r="P483" s="2468"/>
      <c r="Q483" s="2468"/>
      <c r="R483" s="2580"/>
      <c r="S483" s="2468"/>
      <c r="T483" s="2468"/>
      <c r="U483" s="2585"/>
      <c r="V483" s="418">
        <f t="shared" ca="1" si="47"/>
        <v>0</v>
      </c>
      <c r="W483" s="175"/>
      <c r="X483" s="175"/>
      <c r="Y483" s="175"/>
      <c r="Z483" s="175"/>
      <c r="AA483" s="175"/>
    </row>
    <row r="484" spans="1:27" s="176" customFormat="1" hidden="1">
      <c r="A484" s="1110"/>
      <c r="B484" s="336"/>
      <c r="C484" s="266" t="s">
        <v>320</v>
      </c>
      <c r="D484" s="469">
        <v>8</v>
      </c>
      <c r="E484" s="470" t="s">
        <v>299</v>
      </c>
      <c r="F484" s="471">
        <v>0</v>
      </c>
      <c r="G484" s="487"/>
      <c r="H484" s="473"/>
      <c r="I484" s="488"/>
      <c r="J484" s="275"/>
      <c r="K484" s="275"/>
      <c r="L484" s="275"/>
      <c r="M484" s="275"/>
      <c r="N484" s="275"/>
      <c r="O484" s="275"/>
      <c r="P484" s="338"/>
      <c r="Q484" s="275"/>
      <c r="R484" s="191">
        <v>1</v>
      </c>
      <c r="S484" s="275" t="s">
        <v>164</v>
      </c>
      <c r="T484" s="276">
        <v>6</v>
      </c>
      <c r="U484" s="407" t="s">
        <v>321</v>
      </c>
      <c r="V484" s="429">
        <f t="shared" ca="1" si="47"/>
        <v>6</v>
      </c>
      <c r="W484" s="175"/>
      <c r="X484" s="175"/>
      <c r="Y484" s="175"/>
      <c r="Z484" s="175"/>
      <c r="AA484" s="175"/>
    </row>
    <row r="485" spans="1:27" s="176" customFormat="1" hidden="1">
      <c r="A485" s="1110"/>
      <c r="B485" s="296"/>
      <c r="C485" s="179" t="s">
        <v>320</v>
      </c>
      <c r="D485" s="430">
        <v>8</v>
      </c>
      <c r="E485" s="298" t="s">
        <v>299</v>
      </c>
      <c r="F485" s="431">
        <v>1</v>
      </c>
      <c r="G485" s="300"/>
      <c r="H485" s="301"/>
      <c r="I485" s="302"/>
      <c r="J485" s="192"/>
      <c r="K485" s="297"/>
      <c r="L485" s="192"/>
      <c r="M485" s="299"/>
      <c r="N485" s="298"/>
      <c r="O485" s="297"/>
      <c r="P485" s="303"/>
      <c r="Q485" s="299"/>
      <c r="R485" s="304">
        <v>1</v>
      </c>
      <c r="S485" s="192" t="s">
        <v>164</v>
      </c>
      <c r="T485" s="193">
        <v>6</v>
      </c>
      <c r="U485" s="408" t="s">
        <v>322</v>
      </c>
      <c r="V485" s="429">
        <f t="shared" ca="1" si="47"/>
        <v>6</v>
      </c>
      <c r="W485" s="175"/>
      <c r="X485" s="175"/>
      <c r="Y485" s="175"/>
      <c r="Z485" s="175"/>
      <c r="AA485" s="175"/>
    </row>
    <row r="486" spans="1:27" s="175" customFormat="1" hidden="1">
      <c r="A486" s="1110"/>
      <c r="B486" s="342"/>
      <c r="C486" s="495" t="s">
        <v>320</v>
      </c>
      <c r="D486" s="496">
        <v>10</v>
      </c>
      <c r="E486" s="497" t="s">
        <v>299</v>
      </c>
      <c r="F486" s="498">
        <v>0</v>
      </c>
      <c r="G486" s="499"/>
      <c r="H486" s="497"/>
      <c r="I486" s="500"/>
      <c r="J486" s="340"/>
      <c r="K486" s="344"/>
      <c r="L486" s="344"/>
      <c r="M486" s="344"/>
      <c r="N486" s="344"/>
      <c r="O486" s="345"/>
      <c r="P486" s="344"/>
      <c r="Q486" s="345"/>
      <c r="R486" s="346">
        <v>1</v>
      </c>
      <c r="S486" s="406" t="s">
        <v>164</v>
      </c>
      <c r="T486" s="347">
        <v>8</v>
      </c>
      <c r="U486" s="393" t="s">
        <v>323</v>
      </c>
      <c r="V486" s="429">
        <f ca="1">V492</f>
        <v>6</v>
      </c>
    </row>
    <row r="487" spans="1:27" s="175" customFormat="1" hidden="1">
      <c r="A487" s="1110"/>
      <c r="B487" s="348"/>
      <c r="C487" s="495" t="s">
        <v>320</v>
      </c>
      <c r="D487" s="496">
        <v>-1</v>
      </c>
      <c r="E487" s="497" t="s">
        <v>299</v>
      </c>
      <c r="F487" s="498">
        <v>10.3</v>
      </c>
      <c r="G487" s="501"/>
      <c r="H487" s="502"/>
      <c r="I487" s="503"/>
      <c r="J487" s="357"/>
      <c r="K487" s="349"/>
      <c r="L487" s="350"/>
      <c r="M487" s="351"/>
      <c r="N487" s="352"/>
      <c r="O487" s="353"/>
      <c r="P487" s="350"/>
      <c r="Q487" s="354"/>
      <c r="R487" s="356">
        <v>1</v>
      </c>
      <c r="S487" s="406" t="s">
        <v>164</v>
      </c>
      <c r="T487" s="355">
        <v>9</v>
      </c>
      <c r="U487" s="393" t="s">
        <v>324</v>
      </c>
      <c r="V487" s="418">
        <f t="shared" ca="1" si="47"/>
        <v>6</v>
      </c>
    </row>
    <row r="488" spans="1:27" s="175" customFormat="1" hidden="1">
      <c r="A488" s="1110"/>
      <c r="B488" s="348"/>
      <c r="C488" s="495" t="s">
        <v>320</v>
      </c>
      <c r="D488" s="496">
        <v>1</v>
      </c>
      <c r="E488" s="497" t="s">
        <v>299</v>
      </c>
      <c r="F488" s="498">
        <v>16.7</v>
      </c>
      <c r="G488" s="499"/>
      <c r="H488" s="497"/>
      <c r="I488" s="500"/>
      <c r="J488" s="340"/>
      <c r="K488" s="504"/>
      <c r="L488" s="344"/>
      <c r="M488" s="505"/>
      <c r="N488" s="506"/>
      <c r="O488" s="406"/>
      <c r="P488" s="344"/>
      <c r="Q488" s="507"/>
      <c r="R488" s="346">
        <v>1</v>
      </c>
      <c r="S488" s="406" t="s">
        <v>164</v>
      </c>
      <c r="T488" s="347">
        <v>9</v>
      </c>
      <c r="U488" s="393" t="s">
        <v>325</v>
      </c>
      <c r="V488" s="418">
        <f ca="1">V492</f>
        <v>6</v>
      </c>
    </row>
    <row r="489" spans="1:27" s="222" customFormat="1" hidden="1">
      <c r="A489" s="1106"/>
      <c r="B489" s="442"/>
      <c r="C489" s="287" t="s">
        <v>320</v>
      </c>
      <c r="D489" s="676">
        <v>3</v>
      </c>
      <c r="E489" s="289" t="s">
        <v>299</v>
      </c>
      <c r="F489" s="677">
        <v>15</v>
      </c>
      <c r="G489" s="288"/>
      <c r="H489" s="289"/>
      <c r="I489" s="290"/>
      <c r="J489" s="201"/>
      <c r="K489" s="689"/>
      <c r="L489" s="291"/>
      <c r="M489" s="690"/>
      <c r="N489" s="691"/>
      <c r="O489" s="293"/>
      <c r="P489" s="291"/>
      <c r="Q489" s="692"/>
      <c r="R489" s="218">
        <v>1</v>
      </c>
      <c r="S489" s="293" t="s">
        <v>164</v>
      </c>
      <c r="T489" s="204">
        <v>10</v>
      </c>
      <c r="U489" s="221" t="s">
        <v>326</v>
      </c>
      <c r="V489" s="418">
        <f>V493</f>
        <v>0</v>
      </c>
    </row>
    <row r="490" spans="1:27" s="222" customFormat="1" hidden="1">
      <c r="A490" s="1106"/>
      <c r="B490" s="442"/>
      <c r="C490" s="287" t="s">
        <v>320</v>
      </c>
      <c r="D490" s="676">
        <v>4</v>
      </c>
      <c r="E490" s="289" t="s">
        <v>299</v>
      </c>
      <c r="F490" s="677">
        <v>3</v>
      </c>
      <c r="G490" s="288"/>
      <c r="H490" s="289"/>
      <c r="I490" s="290"/>
      <c r="J490" s="201"/>
      <c r="K490" s="689"/>
      <c r="L490" s="291"/>
      <c r="M490" s="690"/>
      <c r="N490" s="691"/>
      <c r="O490" s="293"/>
      <c r="P490" s="291"/>
      <c r="Q490" s="692"/>
      <c r="R490" s="218">
        <v>1</v>
      </c>
      <c r="S490" s="293" t="s">
        <v>164</v>
      </c>
      <c r="T490" s="204">
        <v>10</v>
      </c>
      <c r="U490" s="221" t="s">
        <v>327</v>
      </c>
      <c r="V490" s="418">
        <f>V494</f>
        <v>0</v>
      </c>
    </row>
    <row r="491" spans="1:27" s="222" customFormat="1" hidden="1">
      <c r="A491" s="1106"/>
      <c r="B491" s="442"/>
      <c r="C491" s="287" t="s">
        <v>320</v>
      </c>
      <c r="D491" s="676">
        <v>6</v>
      </c>
      <c r="E491" s="289" t="s">
        <v>299</v>
      </c>
      <c r="F491" s="677">
        <v>10</v>
      </c>
      <c r="G491" s="288"/>
      <c r="H491" s="289"/>
      <c r="I491" s="290"/>
      <c r="J491" s="201"/>
      <c r="K491" s="689"/>
      <c r="L491" s="291"/>
      <c r="M491" s="690"/>
      <c r="N491" s="691"/>
      <c r="O491" s="293"/>
      <c r="P491" s="291"/>
      <c r="Q491" s="692"/>
      <c r="R491" s="218">
        <v>1</v>
      </c>
      <c r="S491" s="293" t="s">
        <v>164</v>
      </c>
      <c r="T491" s="204">
        <v>10</v>
      </c>
      <c r="U491" s="221" t="s">
        <v>328</v>
      </c>
      <c r="V491" s="418">
        <f>V495</f>
        <v>0</v>
      </c>
    </row>
    <row r="492" spans="1:27" s="175" customFormat="1" hidden="1">
      <c r="A492" s="1110"/>
      <c r="B492" s="348"/>
      <c r="C492" s="522" t="s">
        <v>320</v>
      </c>
      <c r="D492" s="611">
        <v>9</v>
      </c>
      <c r="E492" s="502" t="s">
        <v>299</v>
      </c>
      <c r="F492" s="565">
        <v>10</v>
      </c>
      <c r="G492" s="501"/>
      <c r="H492" s="502"/>
      <c r="I492" s="503"/>
      <c r="J492" s="357"/>
      <c r="K492" s="349"/>
      <c r="L492" s="350"/>
      <c r="M492" s="351"/>
      <c r="N492" s="352"/>
      <c r="O492" s="353"/>
      <c r="P492" s="350"/>
      <c r="Q492" s="354"/>
      <c r="R492" s="356">
        <v>1</v>
      </c>
      <c r="S492" s="353" t="s">
        <v>164</v>
      </c>
      <c r="T492" s="355">
        <v>22</v>
      </c>
      <c r="U492" s="1635" t="s">
        <v>862</v>
      </c>
      <c r="V492" s="429">
        <f ca="1">V496</f>
        <v>18</v>
      </c>
    </row>
    <row r="493" spans="1:27" s="40" customFormat="1" hidden="1">
      <c r="A493" s="1106" t="s">
        <v>65</v>
      </c>
      <c r="B493" s="1636"/>
      <c r="C493" s="1603"/>
      <c r="D493" s="2527" t="s">
        <v>257</v>
      </c>
      <c r="E493" s="2528"/>
      <c r="F493" s="2528"/>
      <c r="G493" s="2528"/>
      <c r="H493" s="2528"/>
      <c r="I493" s="2529"/>
      <c r="J493" s="2490">
        <f>VLOOKUP(A495,'11 - FINANCEIRA'!_xlnm.Print_Area,30,FALSE)</f>
        <v>38</v>
      </c>
      <c r="K493" s="2491"/>
      <c r="L493" s="309" t="str">
        <f>VLOOKUP(A495,'11 - FINANCEIRA'!_xlnm.Print_Area,4,FALSE)</f>
        <v>m³</v>
      </c>
      <c r="M493" s="2556" t="s">
        <v>258</v>
      </c>
      <c r="N493" s="2557"/>
      <c r="O493" s="2557"/>
      <c r="P493" s="2557"/>
      <c r="Q493" s="2558"/>
      <c r="R493" s="248">
        <f>SUM(R484:R492)</f>
        <v>9</v>
      </c>
      <c r="S493" s="310" t="str">
        <f>L493</f>
        <v>m³</v>
      </c>
      <c r="T493" s="321"/>
      <c r="U493" s="322"/>
      <c r="V493" s="418">
        <f t="shared" si="47"/>
        <v>0</v>
      </c>
    </row>
    <row r="494" spans="1:27" s="40" customFormat="1" hidden="1">
      <c r="A494" s="1106" t="s">
        <v>43</v>
      </c>
      <c r="B494" s="246"/>
      <c r="C494" s="247"/>
      <c r="D494" s="2521" t="s">
        <v>259</v>
      </c>
      <c r="E494" s="2522"/>
      <c r="F494" s="2522"/>
      <c r="G494" s="2522"/>
      <c r="H494" s="2522"/>
      <c r="I494" s="2523"/>
      <c r="J494" s="2515">
        <f>R493/J493</f>
        <v>0.23684210526315788</v>
      </c>
      <c r="K494" s="2516"/>
      <c r="L494" s="2554"/>
      <c r="M494" s="2556" t="s">
        <v>260</v>
      </c>
      <c r="N494" s="2557"/>
      <c r="O494" s="2557"/>
      <c r="P494" s="2557"/>
      <c r="Q494" s="2558"/>
      <c r="R494" s="248">
        <f>VLOOKUP(A495,'11 - FINANCEIRA'!_xlnm.Print_Area,8,FALSE)</f>
        <v>9</v>
      </c>
      <c r="S494" s="249" t="str">
        <f>L493</f>
        <v>m³</v>
      </c>
      <c r="T494" s="244"/>
      <c r="U494" s="245"/>
      <c r="V494" s="418">
        <f t="shared" si="47"/>
        <v>0</v>
      </c>
    </row>
    <row r="495" spans="1:27" s="40" customFormat="1" hidden="1">
      <c r="A495" s="1106" t="s">
        <v>44</v>
      </c>
      <c r="B495" s="246"/>
      <c r="C495" s="240"/>
      <c r="D495" s="2524"/>
      <c r="E495" s="2525"/>
      <c r="F495" s="2525"/>
      <c r="G495" s="2525"/>
      <c r="H495" s="2525"/>
      <c r="I495" s="2526"/>
      <c r="J495" s="2519"/>
      <c r="K495" s="2520"/>
      <c r="L495" s="2570"/>
      <c r="M495" s="2574" t="s">
        <v>261</v>
      </c>
      <c r="N495" s="2575"/>
      <c r="O495" s="2575"/>
      <c r="P495" s="2575"/>
      <c r="Q495" s="2576"/>
      <c r="R495" s="251">
        <f>R493-R494</f>
        <v>0</v>
      </c>
      <c r="S495" s="252" t="str">
        <f>L493</f>
        <v>m³</v>
      </c>
      <c r="T495" s="244"/>
      <c r="U495" s="245"/>
      <c r="V495" s="418">
        <f>R495</f>
        <v>0</v>
      </c>
    </row>
    <row r="496" spans="1:27" s="40" customFormat="1" hidden="1">
      <c r="A496" s="1106"/>
      <c r="B496" s="311"/>
      <c r="C496" s="312"/>
      <c r="D496" s="313"/>
      <c r="E496" s="314"/>
      <c r="F496" s="313"/>
      <c r="G496" s="313"/>
      <c r="H496" s="313"/>
      <c r="I496" s="313"/>
      <c r="J496" s="315"/>
      <c r="K496" s="316"/>
      <c r="L496" s="317"/>
      <c r="M496" s="318"/>
      <c r="N496" s="318"/>
      <c r="O496" s="318"/>
      <c r="P496" s="318"/>
      <c r="Q496" s="318"/>
      <c r="R496" s="319"/>
      <c r="S496" s="320"/>
      <c r="T496" s="321"/>
      <c r="U496" s="322"/>
      <c r="V496" s="418">
        <f ca="1">SUM(V482:V495)</f>
        <v>54</v>
      </c>
    </row>
    <row r="497" spans="1:27" s="176" customFormat="1" ht="30" customHeight="1">
      <c r="A497" s="1106"/>
      <c r="B497" s="2463">
        <f>VLOOKUP(A524,'11 - FINANCEIRA'!_xlnm.Print_Area,2,FALSE)</f>
        <v>90710</v>
      </c>
      <c r="C497" s="2629" t="str">
        <f>VLOOKUP(A524,'11 - FINANCEIRA'!_xlnm.Print_Area,3,FALSE)</f>
        <v>Tubo de PVC para rede coletora de esgoto de parede maciça DN 150mm,junta elástica, instalado em local com nível alto de interferências - Fornecimento Assentamento AF_06/2015</v>
      </c>
      <c r="D497" s="2472" t="s">
        <v>242</v>
      </c>
      <c r="E497" s="2473"/>
      <c r="F497" s="2473"/>
      <c r="G497" s="2473"/>
      <c r="H497" s="2473"/>
      <c r="I497" s="2474"/>
      <c r="J497" s="2467" t="s">
        <v>139</v>
      </c>
      <c r="K497" s="2467" t="s">
        <v>244</v>
      </c>
      <c r="L497" s="2467" t="s">
        <v>245</v>
      </c>
      <c r="M497" s="2467" t="s">
        <v>246</v>
      </c>
      <c r="N497" s="2467" t="s">
        <v>247</v>
      </c>
      <c r="O497" s="2467" t="s">
        <v>248</v>
      </c>
      <c r="P497" s="2467" t="s">
        <v>767</v>
      </c>
      <c r="Q497" s="2467" t="s">
        <v>250</v>
      </c>
      <c r="R497" s="2579" t="s">
        <v>139</v>
      </c>
      <c r="S497" s="2467" t="s">
        <v>251</v>
      </c>
      <c r="T497" s="2467" t="s">
        <v>252</v>
      </c>
      <c r="U497" s="2584" t="s">
        <v>253</v>
      </c>
      <c r="V497" s="418">
        <f>V498</f>
        <v>27.200000000000045</v>
      </c>
      <c r="W497" s="175"/>
      <c r="X497" s="175"/>
      <c r="Y497" s="175"/>
      <c r="Z497" s="175"/>
      <c r="AA497" s="175"/>
    </row>
    <row r="498" spans="1:27" s="176" customFormat="1" ht="30" customHeight="1">
      <c r="A498" s="1106"/>
      <c r="B498" s="2464" t="e">
        <f>LEFT(#REF!,5)</f>
        <v>#REF!</v>
      </c>
      <c r="C498" s="2630" t="e">
        <f>VLOOKUP(LEFT(#REF!,5),'11 - FINANCEIRA'!_xlnm.Print_Area,2,FALSE)</f>
        <v>#REF!</v>
      </c>
      <c r="D498" s="2475" t="s">
        <v>254</v>
      </c>
      <c r="E498" s="2476"/>
      <c r="F498" s="2477"/>
      <c r="G498" s="2469" t="s">
        <v>255</v>
      </c>
      <c r="H498" s="2470"/>
      <c r="I498" s="2471"/>
      <c r="J498" s="2468"/>
      <c r="K498" s="2468"/>
      <c r="L498" s="2468"/>
      <c r="M498" s="2468"/>
      <c r="N498" s="2468"/>
      <c r="O498" s="2468"/>
      <c r="P498" s="2468"/>
      <c r="Q498" s="2468"/>
      <c r="R498" s="2580"/>
      <c r="S498" s="2468"/>
      <c r="T498" s="2468"/>
      <c r="U498" s="2585"/>
      <c r="V498" s="418">
        <f>V499</f>
        <v>27.200000000000045</v>
      </c>
      <c r="W498" s="175"/>
      <c r="X498" s="175"/>
      <c r="Y498" s="175"/>
      <c r="Z498" s="175"/>
      <c r="AA498" s="175"/>
    </row>
    <row r="499" spans="1:27" s="176" customFormat="1">
      <c r="A499" s="1110"/>
      <c r="B499" s="336"/>
      <c r="C499" s="266" t="s">
        <v>329</v>
      </c>
      <c r="D499" s="469">
        <v>6</v>
      </c>
      <c r="E499" s="470" t="s">
        <v>299</v>
      </c>
      <c r="F499" s="471">
        <v>0</v>
      </c>
      <c r="G499" s="472">
        <v>8</v>
      </c>
      <c r="H499" s="473" t="s">
        <v>299</v>
      </c>
      <c r="I499" s="474">
        <v>2</v>
      </c>
      <c r="J499" s="275" t="s">
        <v>303</v>
      </c>
      <c r="K499" s="275"/>
      <c r="L499" s="275"/>
      <c r="M499" s="275"/>
      <c r="N499" s="275"/>
      <c r="O499" s="275"/>
      <c r="P499" s="338"/>
      <c r="Q499" s="275"/>
      <c r="R499" s="191">
        <v>42</v>
      </c>
      <c r="S499" s="275" t="s">
        <v>144</v>
      </c>
      <c r="T499" s="276">
        <v>6</v>
      </c>
      <c r="U499" s="1555"/>
      <c r="V499" s="429">
        <f>V500</f>
        <v>27.200000000000045</v>
      </c>
      <c r="W499" s="175"/>
      <c r="X499" s="175"/>
      <c r="Y499" s="175"/>
      <c r="Z499" s="175"/>
      <c r="AA499" s="175"/>
    </row>
    <row r="500" spans="1:27" s="176" customFormat="1">
      <c r="A500" s="1110"/>
      <c r="B500" s="296"/>
      <c r="C500" s="1518" t="s">
        <v>329</v>
      </c>
      <c r="D500" s="1234">
        <v>9</v>
      </c>
      <c r="E500" s="298" t="s">
        <v>299</v>
      </c>
      <c r="F500" s="1235">
        <v>17</v>
      </c>
      <c r="G500" s="432">
        <v>11</v>
      </c>
      <c r="H500" s="301" t="s">
        <v>299</v>
      </c>
      <c r="I500" s="433">
        <v>13</v>
      </c>
      <c r="J500" s="1604" t="s">
        <v>303</v>
      </c>
      <c r="K500" s="1125">
        <v>36</v>
      </c>
      <c r="L500" s="1604"/>
      <c r="M500" s="1136"/>
      <c r="N500" s="298"/>
      <c r="O500" s="1125"/>
      <c r="P500" s="1697"/>
      <c r="Q500" s="1136"/>
      <c r="R500" s="1121">
        <v>36</v>
      </c>
      <c r="S500" s="1604" t="s">
        <v>144</v>
      </c>
      <c r="T500" s="1698">
        <v>8</v>
      </c>
      <c r="U500" s="435"/>
      <c r="V500" s="429">
        <f>V501</f>
        <v>27.200000000000045</v>
      </c>
      <c r="W500" s="175"/>
      <c r="X500" s="175"/>
      <c r="Y500" s="175"/>
      <c r="Z500" s="175"/>
      <c r="AA500" s="175"/>
    </row>
    <row r="501" spans="1:27" s="175" customFormat="1">
      <c r="A501" s="1110"/>
      <c r="B501" s="342"/>
      <c r="C501" s="495" t="s">
        <v>330</v>
      </c>
      <c r="D501" s="496">
        <v>10</v>
      </c>
      <c r="E501" s="497" t="s">
        <v>299</v>
      </c>
      <c r="F501" s="498">
        <v>0</v>
      </c>
      <c r="G501" s="496">
        <v>10</v>
      </c>
      <c r="H501" s="497" t="s">
        <v>299</v>
      </c>
      <c r="I501" s="498">
        <v>0</v>
      </c>
      <c r="J501" s="340" t="s">
        <v>303</v>
      </c>
      <c r="K501" s="357">
        <v>4.5</v>
      </c>
      <c r="L501" s="344"/>
      <c r="M501" s="344"/>
      <c r="N501" s="344"/>
      <c r="O501" s="345"/>
      <c r="P501" s="344"/>
      <c r="Q501" s="345"/>
      <c r="R501" s="346">
        <v>4.5</v>
      </c>
      <c r="S501" s="406" t="s">
        <v>144</v>
      </c>
      <c r="T501" s="347">
        <v>8</v>
      </c>
      <c r="U501" s="508"/>
      <c r="V501" s="429">
        <f>V510</f>
        <v>27.200000000000045</v>
      </c>
    </row>
    <row r="502" spans="1:27" s="175" customFormat="1">
      <c r="A502" s="1110"/>
      <c r="B502" s="348"/>
      <c r="C502" s="1518" t="s">
        <v>331</v>
      </c>
      <c r="D502" s="496">
        <v>-1</v>
      </c>
      <c r="E502" s="497" t="s">
        <v>299</v>
      </c>
      <c r="F502" s="498">
        <v>10.3</v>
      </c>
      <c r="G502" s="496">
        <v>1</v>
      </c>
      <c r="H502" s="497" t="s">
        <v>299</v>
      </c>
      <c r="I502" s="498">
        <v>17</v>
      </c>
      <c r="J502" s="340" t="s">
        <v>303</v>
      </c>
      <c r="K502" s="509">
        <f t="shared" ref="K502:K507" si="48">(G502-D502)*20+I502-F502</f>
        <v>46.7</v>
      </c>
      <c r="L502" s="344"/>
      <c r="M502" s="344"/>
      <c r="N502" s="344"/>
      <c r="O502" s="345"/>
      <c r="P502" s="344"/>
      <c r="Q502" s="345"/>
      <c r="R502" s="346">
        <f>K502</f>
        <v>46.7</v>
      </c>
      <c r="S502" s="406" t="s">
        <v>144</v>
      </c>
      <c r="T502" s="347">
        <v>9</v>
      </c>
      <c r="U502" s="2183"/>
      <c r="V502" s="418">
        <f>V510</f>
        <v>27.200000000000045</v>
      </c>
    </row>
    <row r="503" spans="1:27" s="222" customFormat="1">
      <c r="A503" s="1106"/>
      <c r="B503" s="442"/>
      <c r="C503" s="196" t="s">
        <v>331</v>
      </c>
      <c r="D503" s="676">
        <v>3</v>
      </c>
      <c r="E503" s="289" t="s">
        <v>299</v>
      </c>
      <c r="F503" s="677">
        <v>15</v>
      </c>
      <c r="G503" s="676">
        <v>6</v>
      </c>
      <c r="H503" s="289" t="s">
        <v>299</v>
      </c>
      <c r="I503" s="677">
        <v>10</v>
      </c>
      <c r="J503" s="201" t="s">
        <v>303</v>
      </c>
      <c r="K503" s="693">
        <f t="shared" si="48"/>
        <v>55</v>
      </c>
      <c r="L503" s="291"/>
      <c r="M503" s="291"/>
      <c r="N503" s="291"/>
      <c r="O503" s="292"/>
      <c r="P503" s="291"/>
      <c r="Q503" s="292"/>
      <c r="R503" s="218">
        <f>K503</f>
        <v>55</v>
      </c>
      <c r="S503" s="293" t="s">
        <v>144</v>
      </c>
      <c r="T503" s="204">
        <v>10</v>
      </c>
      <c r="U503" s="681"/>
      <c r="V503" s="418">
        <f t="shared" ref="V503:V508" si="49">V522</f>
        <v>27.200000000000045</v>
      </c>
    </row>
    <row r="504" spans="1:27" s="175" customFormat="1">
      <c r="A504" s="1110"/>
      <c r="B504" s="348"/>
      <c r="C504" s="339" t="s">
        <v>707</v>
      </c>
      <c r="D504" s="496">
        <v>7</v>
      </c>
      <c r="E504" s="497" t="s">
        <v>299</v>
      </c>
      <c r="F504" s="498">
        <v>4</v>
      </c>
      <c r="G504" s="496">
        <v>10</v>
      </c>
      <c r="H504" s="497" t="s">
        <v>299</v>
      </c>
      <c r="I504" s="498">
        <v>0</v>
      </c>
      <c r="J504" s="340" t="s">
        <v>300</v>
      </c>
      <c r="K504" s="509">
        <f t="shared" si="48"/>
        <v>56</v>
      </c>
      <c r="L504" s="344"/>
      <c r="M504" s="344"/>
      <c r="N504" s="344"/>
      <c r="O504" s="345"/>
      <c r="P504" s="344"/>
      <c r="Q504" s="345"/>
      <c r="R504" s="346">
        <f>K504</f>
        <v>56</v>
      </c>
      <c r="S504" s="406" t="s">
        <v>144</v>
      </c>
      <c r="T504" s="347">
        <v>18</v>
      </c>
      <c r="U504" s="435" t="s">
        <v>706</v>
      </c>
      <c r="V504" s="429">
        <f t="shared" si="49"/>
        <v>27.200000000000045</v>
      </c>
    </row>
    <row r="505" spans="1:27" s="175" customFormat="1">
      <c r="A505" s="1110"/>
      <c r="B505" s="348"/>
      <c r="C505" s="339" t="s">
        <v>707</v>
      </c>
      <c r="D505" s="496">
        <v>9</v>
      </c>
      <c r="E505" s="497" t="s">
        <v>299</v>
      </c>
      <c r="F505" s="498">
        <v>0</v>
      </c>
      <c r="G505" s="496">
        <v>12</v>
      </c>
      <c r="H505" s="497" t="s">
        <v>299</v>
      </c>
      <c r="I505" s="498">
        <v>13</v>
      </c>
      <c r="J505" s="340" t="s">
        <v>303</v>
      </c>
      <c r="K505" s="509">
        <f t="shared" si="48"/>
        <v>73</v>
      </c>
      <c r="L505" s="344"/>
      <c r="M505" s="344"/>
      <c r="N505" s="344"/>
      <c r="O505" s="345"/>
      <c r="P505" s="344"/>
      <c r="Q505" s="345"/>
      <c r="R505" s="346">
        <f>K505</f>
        <v>73</v>
      </c>
      <c r="S505" s="406" t="s">
        <v>144</v>
      </c>
      <c r="T505" s="347">
        <v>18</v>
      </c>
      <c r="U505" s="435" t="s">
        <v>706</v>
      </c>
      <c r="V505" s="429">
        <f t="shared" si="49"/>
        <v>27.200000000000045</v>
      </c>
    </row>
    <row r="506" spans="1:27" s="175" customFormat="1">
      <c r="A506" s="1110"/>
      <c r="B506" s="342"/>
      <c r="C506" s="339" t="s">
        <v>707</v>
      </c>
      <c r="D506" s="496">
        <v>7</v>
      </c>
      <c r="E506" s="497" t="s">
        <v>299</v>
      </c>
      <c r="F506" s="498">
        <v>4</v>
      </c>
      <c r="G506" s="496">
        <v>11</v>
      </c>
      <c r="H506" s="497" t="s">
        <v>299</v>
      </c>
      <c r="I506" s="498">
        <v>7</v>
      </c>
      <c r="J506" s="340" t="s">
        <v>300</v>
      </c>
      <c r="K506" s="509">
        <f t="shared" si="48"/>
        <v>83</v>
      </c>
      <c r="L506" s="344"/>
      <c r="M506" s="344"/>
      <c r="N506" s="344"/>
      <c r="O506" s="345"/>
      <c r="P506" s="344"/>
      <c r="Q506" s="345"/>
      <c r="R506" s="346">
        <f>K506</f>
        <v>83</v>
      </c>
      <c r="S506" s="406" t="s">
        <v>144</v>
      </c>
      <c r="T506" s="347">
        <v>19</v>
      </c>
      <c r="U506" s="435" t="s">
        <v>706</v>
      </c>
      <c r="V506" s="429" t="e">
        <f t="shared" ca="1" si="49"/>
        <v>#REF!</v>
      </c>
    </row>
    <row r="507" spans="1:27" s="175" customFormat="1">
      <c r="A507" s="1110"/>
      <c r="B507" s="342"/>
      <c r="C507" s="339" t="s">
        <v>707</v>
      </c>
      <c r="D507" s="496">
        <v>7</v>
      </c>
      <c r="E507" s="497" t="s">
        <v>299</v>
      </c>
      <c r="F507" s="498">
        <v>4</v>
      </c>
      <c r="G507" s="496">
        <v>11</v>
      </c>
      <c r="H507" s="497" t="s">
        <v>299</v>
      </c>
      <c r="I507" s="498">
        <v>7</v>
      </c>
      <c r="J507" s="340" t="s">
        <v>300</v>
      </c>
      <c r="K507" s="509">
        <f t="shared" si="48"/>
        <v>83</v>
      </c>
      <c r="L507" s="344"/>
      <c r="M507" s="344"/>
      <c r="N507" s="344"/>
      <c r="O507" s="345"/>
      <c r="P507" s="344">
        <f>5</f>
        <v>5</v>
      </c>
      <c r="Q507" s="345"/>
      <c r="R507" s="346">
        <f t="shared" ref="R507:R511" si="50">K507/P507</f>
        <v>16.600000000000001</v>
      </c>
      <c r="S507" s="406" t="s">
        <v>144</v>
      </c>
      <c r="T507" s="347">
        <v>20</v>
      </c>
      <c r="U507" s="435" t="s">
        <v>748</v>
      </c>
      <c r="V507" s="429">
        <f t="shared" si="49"/>
        <v>0</v>
      </c>
    </row>
    <row r="508" spans="1:27" s="175" customFormat="1">
      <c r="A508" s="1110"/>
      <c r="B508" s="342"/>
      <c r="C508" s="339" t="s">
        <v>775</v>
      </c>
      <c r="D508" s="496">
        <v>8</v>
      </c>
      <c r="E508" s="497" t="s">
        <v>299</v>
      </c>
      <c r="F508" s="498">
        <v>12</v>
      </c>
      <c r="G508" s="496">
        <v>11</v>
      </c>
      <c r="H508" s="497" t="s">
        <v>299</v>
      </c>
      <c r="I508" s="498">
        <v>17</v>
      </c>
      <c r="J508" s="340" t="s">
        <v>300</v>
      </c>
      <c r="K508" s="509">
        <f>(G508-D508)*20+I508-F508</f>
        <v>65</v>
      </c>
      <c r="L508" s="344"/>
      <c r="M508" s="344"/>
      <c r="N508" s="344"/>
      <c r="O508" s="345"/>
      <c r="P508" s="344">
        <f>5</f>
        <v>5</v>
      </c>
      <c r="Q508" s="345"/>
      <c r="R508" s="346">
        <f t="shared" si="50"/>
        <v>13</v>
      </c>
      <c r="S508" s="406" t="s">
        <v>144</v>
      </c>
      <c r="T508" s="347">
        <v>21</v>
      </c>
      <c r="U508" s="435" t="s">
        <v>748</v>
      </c>
      <c r="V508" s="429">
        <f t="shared" si="49"/>
        <v>0</v>
      </c>
    </row>
    <row r="509" spans="1:27" s="175" customFormat="1">
      <c r="A509" s="1110"/>
      <c r="B509" s="342"/>
      <c r="C509" s="339" t="s">
        <v>776</v>
      </c>
      <c r="D509" s="496">
        <v>9</v>
      </c>
      <c r="E509" s="497" t="s">
        <v>299</v>
      </c>
      <c r="F509" s="498">
        <v>6</v>
      </c>
      <c r="G509" s="496">
        <v>11</v>
      </c>
      <c r="H509" s="497" t="s">
        <v>299</v>
      </c>
      <c r="I509" s="498">
        <v>17</v>
      </c>
      <c r="J509" s="340" t="s">
        <v>300</v>
      </c>
      <c r="K509" s="509">
        <f>(G509-D509)*20+I509-F509</f>
        <v>51</v>
      </c>
      <c r="L509" s="344"/>
      <c r="M509" s="505"/>
      <c r="N509" s="506"/>
      <c r="O509" s="406"/>
      <c r="P509" s="344">
        <f>5</f>
        <v>5</v>
      </c>
      <c r="Q509" s="507"/>
      <c r="R509" s="346">
        <f t="shared" si="50"/>
        <v>10.199999999999999</v>
      </c>
      <c r="S509" s="406" t="s">
        <v>144</v>
      </c>
      <c r="T509" s="347">
        <v>21</v>
      </c>
      <c r="U509" s="435"/>
      <c r="V509" s="429"/>
    </row>
    <row r="510" spans="1:27" s="175" customFormat="1">
      <c r="A510" s="1110"/>
      <c r="B510" s="342"/>
      <c r="C510" s="339" t="s">
        <v>777</v>
      </c>
      <c r="D510" s="496">
        <v>7</v>
      </c>
      <c r="E510" s="497" t="s">
        <v>299</v>
      </c>
      <c r="F510" s="498">
        <v>4</v>
      </c>
      <c r="G510" s="496">
        <v>11</v>
      </c>
      <c r="H510" s="497" t="s">
        <v>299</v>
      </c>
      <c r="I510" s="498">
        <v>17</v>
      </c>
      <c r="J510" s="340" t="s">
        <v>300</v>
      </c>
      <c r="K510" s="509">
        <f>(G510-D510)*20+I510-F510</f>
        <v>93</v>
      </c>
      <c r="L510" s="344"/>
      <c r="M510" s="505"/>
      <c r="N510" s="506"/>
      <c r="O510" s="406"/>
      <c r="P510" s="344">
        <f>5</f>
        <v>5</v>
      </c>
      <c r="Q510" s="507"/>
      <c r="R510" s="346">
        <f t="shared" si="50"/>
        <v>18.600000000000001</v>
      </c>
      <c r="S510" s="406" t="s">
        <v>144</v>
      </c>
      <c r="T510" s="347">
        <v>21</v>
      </c>
      <c r="U510" s="408"/>
      <c r="V510" s="429">
        <f t="shared" ref="V510:V517" si="51">V522</f>
        <v>27.200000000000045</v>
      </c>
    </row>
    <row r="511" spans="1:27" s="175" customFormat="1">
      <c r="A511" s="1110"/>
      <c r="B511" s="342"/>
      <c r="C511" s="339" t="s">
        <v>930</v>
      </c>
      <c r="D511" s="496">
        <v>25</v>
      </c>
      <c r="E511" s="497" t="s">
        <v>299</v>
      </c>
      <c r="F511" s="498">
        <v>16</v>
      </c>
      <c r="G511" s="496">
        <v>31</v>
      </c>
      <c r="H511" s="497" t="s">
        <v>299</v>
      </c>
      <c r="I511" s="498">
        <v>12</v>
      </c>
      <c r="J511" s="340" t="s">
        <v>300</v>
      </c>
      <c r="K511" s="509">
        <f>(G511-D511)*20+I511-F511</f>
        <v>116</v>
      </c>
      <c r="L511" s="344"/>
      <c r="M511" s="505"/>
      <c r="N511" s="506"/>
      <c r="O511" s="406"/>
      <c r="P511" s="344">
        <f>5</f>
        <v>5</v>
      </c>
      <c r="Q511" s="507"/>
      <c r="R511" s="346">
        <f t="shared" si="50"/>
        <v>23.2</v>
      </c>
      <c r="S511" s="406" t="s">
        <v>144</v>
      </c>
      <c r="T511" s="347">
        <v>23</v>
      </c>
      <c r="U511" s="435" t="s">
        <v>931</v>
      </c>
      <c r="V511" s="429">
        <f t="shared" si="51"/>
        <v>27.200000000000045</v>
      </c>
    </row>
    <row r="512" spans="1:27" s="175" customFormat="1" ht="30">
      <c r="A512" s="1110"/>
      <c r="B512" s="342"/>
      <c r="C512" s="339" t="s">
        <v>930</v>
      </c>
      <c r="D512" s="496">
        <v>25</v>
      </c>
      <c r="E512" s="497" t="s">
        <v>299</v>
      </c>
      <c r="F512" s="498">
        <v>16</v>
      </c>
      <c r="G512" s="496">
        <v>31</v>
      </c>
      <c r="H512" s="497" t="s">
        <v>299</v>
      </c>
      <c r="I512" s="498">
        <v>12</v>
      </c>
      <c r="J512" s="340" t="s">
        <v>300</v>
      </c>
      <c r="K512" s="509">
        <f>(G512-D512)*20+I512-F512</f>
        <v>116</v>
      </c>
      <c r="L512" s="344"/>
      <c r="M512" s="505"/>
      <c r="N512" s="506"/>
      <c r="O512" s="406"/>
      <c r="P512" s="344">
        <f>5</f>
        <v>5</v>
      </c>
      <c r="Q512" s="507"/>
      <c r="R512" s="346">
        <f>K512/P512</f>
        <v>23.2</v>
      </c>
      <c r="S512" s="406" t="s">
        <v>144</v>
      </c>
      <c r="T512" s="347">
        <v>24</v>
      </c>
      <c r="U512" s="435" t="s">
        <v>974</v>
      </c>
      <c r="V512" s="429">
        <f t="shared" si="51"/>
        <v>27.200000000000045</v>
      </c>
    </row>
    <row r="513" spans="1:27" s="175" customFormat="1">
      <c r="A513" s="1110"/>
      <c r="B513" s="342"/>
      <c r="C513" s="339" t="s">
        <v>930</v>
      </c>
      <c r="D513" s="496">
        <v>25</v>
      </c>
      <c r="E513" s="497" t="s">
        <v>299</v>
      </c>
      <c r="F513" s="498">
        <v>16</v>
      </c>
      <c r="G513" s="496"/>
      <c r="H513" s="497"/>
      <c r="I513" s="498"/>
      <c r="J513" s="340" t="s">
        <v>300</v>
      </c>
      <c r="K513" s="509"/>
      <c r="L513" s="344"/>
      <c r="M513" s="505"/>
      <c r="N513" s="506"/>
      <c r="O513" s="406"/>
      <c r="P513" s="344">
        <f>5</f>
        <v>5</v>
      </c>
      <c r="Q513" s="507"/>
      <c r="R513" s="346">
        <v>15</v>
      </c>
      <c r="S513" s="406" t="s">
        <v>144</v>
      </c>
      <c r="T513" s="347">
        <v>24</v>
      </c>
      <c r="U513" s="435" t="s">
        <v>975</v>
      </c>
      <c r="V513" s="429" t="e">
        <f t="shared" ca="1" si="51"/>
        <v>#REF!</v>
      </c>
    </row>
    <row r="514" spans="1:27" s="175" customFormat="1" ht="30">
      <c r="A514" s="1110"/>
      <c r="B514" s="342"/>
      <c r="C514" s="339" t="s">
        <v>930</v>
      </c>
      <c r="D514" s="496">
        <f t="shared" ref="D514:I516" si="52">D442</f>
        <v>35</v>
      </c>
      <c r="E514" s="606" t="str">
        <f t="shared" si="52"/>
        <v>+</v>
      </c>
      <c r="F514" s="498">
        <f t="shared" si="52"/>
        <v>14</v>
      </c>
      <c r="G514" s="496">
        <f t="shared" si="52"/>
        <v>39</v>
      </c>
      <c r="H514" s="606" t="str">
        <f t="shared" si="52"/>
        <v>+</v>
      </c>
      <c r="I514" s="498">
        <f t="shared" si="52"/>
        <v>16</v>
      </c>
      <c r="J514" s="340" t="s">
        <v>300</v>
      </c>
      <c r="K514" s="509">
        <f t="shared" ref="K514:K521" si="53">(G514-D514)*20+I514-F514</f>
        <v>82</v>
      </c>
      <c r="L514" s="344"/>
      <c r="M514" s="505"/>
      <c r="N514" s="506"/>
      <c r="O514" s="406"/>
      <c r="P514" s="344">
        <f>5</f>
        <v>5</v>
      </c>
      <c r="Q514" s="507"/>
      <c r="R514" s="346">
        <f t="shared" ref="R514:R521" si="54">K514/P514</f>
        <v>16.399999999999999</v>
      </c>
      <c r="S514" s="406" t="s">
        <v>144</v>
      </c>
      <c r="T514" s="347">
        <v>25</v>
      </c>
      <c r="U514" s="435" t="s">
        <v>974</v>
      </c>
      <c r="V514" s="429">
        <f t="shared" si="51"/>
        <v>0</v>
      </c>
    </row>
    <row r="515" spans="1:27" s="175" customFormat="1" ht="30">
      <c r="A515" s="1110"/>
      <c r="B515" s="342"/>
      <c r="C515" s="339" t="s">
        <v>930</v>
      </c>
      <c r="D515" s="496">
        <f t="shared" si="52"/>
        <v>31</v>
      </c>
      <c r="E515" s="606" t="str">
        <f t="shared" si="52"/>
        <v>+</v>
      </c>
      <c r="F515" s="498">
        <f t="shared" si="52"/>
        <v>12</v>
      </c>
      <c r="G515" s="496">
        <f t="shared" si="52"/>
        <v>35</v>
      </c>
      <c r="H515" s="606" t="str">
        <f t="shared" si="52"/>
        <v>+</v>
      </c>
      <c r="I515" s="498">
        <f t="shared" si="52"/>
        <v>14</v>
      </c>
      <c r="J515" s="340" t="s">
        <v>300</v>
      </c>
      <c r="K515" s="509">
        <f t="shared" si="53"/>
        <v>82</v>
      </c>
      <c r="L515" s="344"/>
      <c r="M515" s="505"/>
      <c r="N515" s="506"/>
      <c r="O515" s="406"/>
      <c r="P515" s="344">
        <f>5</f>
        <v>5</v>
      </c>
      <c r="Q515" s="507"/>
      <c r="R515" s="346">
        <f t="shared" si="54"/>
        <v>16.399999999999999</v>
      </c>
      <c r="S515" s="406" t="s">
        <v>144</v>
      </c>
      <c r="T515" s="347">
        <v>26</v>
      </c>
      <c r="U515" s="435" t="s">
        <v>974</v>
      </c>
      <c r="V515" s="429">
        <f t="shared" si="51"/>
        <v>0</v>
      </c>
    </row>
    <row r="516" spans="1:27" s="175" customFormat="1" ht="30">
      <c r="A516" s="1110"/>
      <c r="B516" s="342"/>
      <c r="C516" s="339" t="s">
        <v>930</v>
      </c>
      <c r="D516" s="496">
        <f t="shared" si="52"/>
        <v>39</v>
      </c>
      <c r="E516" s="606" t="str">
        <f t="shared" si="52"/>
        <v>+</v>
      </c>
      <c r="F516" s="498">
        <f t="shared" si="52"/>
        <v>16</v>
      </c>
      <c r="G516" s="496">
        <f t="shared" si="52"/>
        <v>41</v>
      </c>
      <c r="H516" s="606" t="str">
        <f t="shared" si="52"/>
        <v>+</v>
      </c>
      <c r="I516" s="498">
        <f t="shared" si="52"/>
        <v>16</v>
      </c>
      <c r="J516" s="340" t="s">
        <v>300</v>
      </c>
      <c r="K516" s="509">
        <f t="shared" si="53"/>
        <v>40</v>
      </c>
      <c r="L516" s="344"/>
      <c r="M516" s="505"/>
      <c r="N516" s="506"/>
      <c r="O516" s="406"/>
      <c r="P516" s="344">
        <f>5</f>
        <v>5</v>
      </c>
      <c r="Q516" s="507"/>
      <c r="R516" s="346">
        <f t="shared" si="54"/>
        <v>8</v>
      </c>
      <c r="S516" s="406" t="s">
        <v>144</v>
      </c>
      <c r="T516" s="347">
        <v>26</v>
      </c>
      <c r="U516" s="435" t="s">
        <v>974</v>
      </c>
      <c r="V516" s="429">
        <f t="shared" si="51"/>
        <v>0</v>
      </c>
    </row>
    <row r="517" spans="1:27" s="175" customFormat="1" ht="30">
      <c r="A517" s="1110"/>
      <c r="B517" s="342"/>
      <c r="C517" s="339" t="s">
        <v>930</v>
      </c>
      <c r="D517" s="496">
        <v>39</v>
      </c>
      <c r="E517" s="606" t="str">
        <f t="shared" ref="E517:H517" si="55">E445</f>
        <v>+</v>
      </c>
      <c r="F517" s="498">
        <f t="shared" si="55"/>
        <v>16</v>
      </c>
      <c r="G517" s="496">
        <v>43</v>
      </c>
      <c r="H517" s="606" t="str">
        <f t="shared" si="55"/>
        <v>+</v>
      </c>
      <c r="I517" s="498">
        <v>4</v>
      </c>
      <c r="J517" s="340" t="s">
        <v>300</v>
      </c>
      <c r="K517" s="509">
        <f t="shared" si="53"/>
        <v>68</v>
      </c>
      <c r="L517" s="344"/>
      <c r="M517" s="505"/>
      <c r="N517" s="506"/>
      <c r="O517" s="406"/>
      <c r="P517" s="344">
        <f>5</f>
        <v>5</v>
      </c>
      <c r="Q517" s="507"/>
      <c r="R517" s="346">
        <f t="shared" si="54"/>
        <v>13.6</v>
      </c>
      <c r="S517" s="406" t="s">
        <v>144</v>
      </c>
      <c r="T517" s="347">
        <v>28</v>
      </c>
      <c r="U517" s="435" t="s">
        <v>974</v>
      </c>
      <c r="V517" s="429">
        <f t="shared" si="51"/>
        <v>0</v>
      </c>
    </row>
    <row r="518" spans="1:27" s="688" customFormat="1" ht="30">
      <c r="A518" s="1771"/>
      <c r="B518" s="756"/>
      <c r="C518" s="510" t="s">
        <v>1158</v>
      </c>
      <c r="D518" s="436">
        <v>41</v>
      </c>
      <c r="E518" s="794" t="str">
        <f>E445</f>
        <v>+</v>
      </c>
      <c r="F518" s="437">
        <f>F445</f>
        <v>16</v>
      </c>
      <c r="G518" s="436">
        <v>43</v>
      </c>
      <c r="H518" s="794" t="s">
        <v>299</v>
      </c>
      <c r="I518" s="437">
        <v>14</v>
      </c>
      <c r="J518" s="438" t="s">
        <v>300</v>
      </c>
      <c r="K518" s="868">
        <f t="shared" si="53"/>
        <v>38</v>
      </c>
      <c r="L518" s="440"/>
      <c r="M518" s="799"/>
      <c r="N518" s="800"/>
      <c r="O518" s="758"/>
      <c r="P518" s="440">
        <f>5</f>
        <v>5</v>
      </c>
      <c r="Q518" s="801"/>
      <c r="R518" s="757">
        <f t="shared" si="54"/>
        <v>7.6</v>
      </c>
      <c r="S518" s="758" t="s">
        <v>144</v>
      </c>
      <c r="T518" s="441">
        <v>28</v>
      </c>
      <c r="U518" s="1164" t="s">
        <v>974</v>
      </c>
      <c r="V518" s="764">
        <f>V529</f>
        <v>0</v>
      </c>
    </row>
    <row r="519" spans="1:27" s="688" customFormat="1" ht="30">
      <c r="A519" s="1771"/>
      <c r="B519" s="756"/>
      <c r="C519" s="510" t="s">
        <v>1159</v>
      </c>
      <c r="D519" s="436">
        <v>31</v>
      </c>
      <c r="E519" s="794" t="str">
        <f>E446</f>
        <v>+</v>
      </c>
      <c r="F519" s="437">
        <f>F446</f>
        <v>12</v>
      </c>
      <c r="G519" s="436">
        <v>32</v>
      </c>
      <c r="H519" s="794" t="s">
        <v>299</v>
      </c>
      <c r="I519" s="437">
        <v>10</v>
      </c>
      <c r="J519" s="438" t="s">
        <v>300</v>
      </c>
      <c r="K519" s="868">
        <f t="shared" si="53"/>
        <v>18</v>
      </c>
      <c r="L519" s="440"/>
      <c r="M519" s="799"/>
      <c r="N519" s="800"/>
      <c r="O519" s="758"/>
      <c r="P519" s="440">
        <f>5</f>
        <v>5</v>
      </c>
      <c r="Q519" s="801"/>
      <c r="R519" s="757">
        <f t="shared" si="54"/>
        <v>3.6</v>
      </c>
      <c r="S519" s="758" t="s">
        <v>144</v>
      </c>
      <c r="T519" s="441">
        <v>28</v>
      </c>
      <c r="U519" s="1164" t="s">
        <v>974</v>
      </c>
      <c r="V519" s="764">
        <f>V530</f>
        <v>0</v>
      </c>
    </row>
    <row r="520" spans="1:27" s="688" customFormat="1" ht="30">
      <c r="A520" s="1771"/>
      <c r="B520" s="756"/>
      <c r="C520" s="510" t="s">
        <v>1160</v>
      </c>
      <c r="D520" s="436">
        <v>31</v>
      </c>
      <c r="E520" s="794">
        <f t="shared" ref="E520:E521" si="56">E447</f>
        <v>0</v>
      </c>
      <c r="F520" s="437">
        <v>12</v>
      </c>
      <c r="G520" s="436">
        <v>33</v>
      </c>
      <c r="H520" s="794" t="s">
        <v>299</v>
      </c>
      <c r="I520" s="437">
        <v>14</v>
      </c>
      <c r="J520" s="438" t="s">
        <v>300</v>
      </c>
      <c r="K520" s="868">
        <f t="shared" si="53"/>
        <v>42</v>
      </c>
      <c r="L520" s="440"/>
      <c r="M520" s="799"/>
      <c r="N520" s="800"/>
      <c r="O520" s="758"/>
      <c r="P520" s="440">
        <f>5</f>
        <v>5</v>
      </c>
      <c r="Q520" s="801"/>
      <c r="R520" s="757">
        <f t="shared" si="54"/>
        <v>8.4</v>
      </c>
      <c r="S520" s="758" t="s">
        <v>144</v>
      </c>
      <c r="T520" s="441">
        <v>28</v>
      </c>
      <c r="U520" s="1164" t="s">
        <v>974</v>
      </c>
      <c r="V520" s="764">
        <f>V531</f>
        <v>0</v>
      </c>
    </row>
    <row r="521" spans="1:27" s="688" customFormat="1" ht="30">
      <c r="A521" s="1771"/>
      <c r="B521" s="1456"/>
      <c r="C521" s="972" t="s">
        <v>1161</v>
      </c>
      <c r="D521" s="869">
        <v>41</v>
      </c>
      <c r="E521" s="1516">
        <f t="shared" si="56"/>
        <v>0</v>
      </c>
      <c r="F521" s="870">
        <v>16</v>
      </c>
      <c r="G521" s="869">
        <v>43</v>
      </c>
      <c r="H521" s="1516" t="s">
        <v>299</v>
      </c>
      <c r="I521" s="870">
        <v>14</v>
      </c>
      <c r="J521" s="760" t="s">
        <v>300</v>
      </c>
      <c r="K521" s="1637">
        <f t="shared" si="53"/>
        <v>38</v>
      </c>
      <c r="L521" s="1245"/>
      <c r="M521" s="1203"/>
      <c r="N521" s="761"/>
      <c r="O521" s="1246"/>
      <c r="P521" s="1245">
        <f>5</f>
        <v>5</v>
      </c>
      <c r="Q521" s="762"/>
      <c r="R521" s="1458">
        <f t="shared" si="54"/>
        <v>7.6</v>
      </c>
      <c r="S521" s="1246" t="s">
        <v>144</v>
      </c>
      <c r="T521" s="874">
        <v>28</v>
      </c>
      <c r="U521" s="768" t="s">
        <v>974</v>
      </c>
      <c r="V521" s="764">
        <f>V532</f>
        <v>0</v>
      </c>
    </row>
    <row r="522" spans="1:27" s="40" customFormat="1">
      <c r="A522" s="1106"/>
      <c r="B522" s="239"/>
      <c r="C522" s="1603"/>
      <c r="D522" s="2527" t="s">
        <v>257</v>
      </c>
      <c r="E522" s="2528"/>
      <c r="F522" s="2528"/>
      <c r="G522" s="2528"/>
      <c r="H522" s="2528"/>
      <c r="I522" s="2529"/>
      <c r="J522" s="2490">
        <f>VLOOKUP(A524,'11 - FINANCEIRA'!$A$16:$AE$156,30,FALSE)</f>
        <v>1760</v>
      </c>
      <c r="K522" s="2491"/>
      <c r="L522" s="309" t="str">
        <f>VLOOKUP(A524,'11 - FINANCEIRA'!_xlnm.Print_Area,4,FALSE)</f>
        <v>m</v>
      </c>
      <c r="M522" s="2556" t="s">
        <v>258</v>
      </c>
      <c r="N522" s="2557"/>
      <c r="O522" s="2557"/>
      <c r="P522" s="2557"/>
      <c r="Q522" s="2558"/>
      <c r="R522" s="248">
        <f>SUM(R499:R521)</f>
        <v>597.6</v>
      </c>
      <c r="S522" s="310" t="str">
        <f>L522</f>
        <v>m</v>
      </c>
      <c r="T522" s="321"/>
      <c r="U522" s="322"/>
      <c r="V522" s="418">
        <f>V523</f>
        <v>27.200000000000045</v>
      </c>
    </row>
    <row r="523" spans="1:27" s="40" customFormat="1">
      <c r="A523" s="1106"/>
      <c r="B523" s="1123"/>
      <c r="C523" s="2182"/>
      <c r="D523" s="2521" t="s">
        <v>259</v>
      </c>
      <c r="E523" s="2522"/>
      <c r="F523" s="2522"/>
      <c r="G523" s="2522"/>
      <c r="H523" s="2522"/>
      <c r="I523" s="2523"/>
      <c r="J523" s="2515">
        <f>R522/J522</f>
        <v>0.33954545454545454</v>
      </c>
      <c r="K523" s="2516"/>
      <c r="L523" s="2554"/>
      <c r="M523" s="2556" t="s">
        <v>260</v>
      </c>
      <c r="N523" s="2557"/>
      <c r="O523" s="2557"/>
      <c r="P523" s="2557"/>
      <c r="Q523" s="2558"/>
      <c r="R523" s="248">
        <f>VLOOKUP(A524,'11 - FINANCEIRA'!_xlnm.Print_Area,8,FALSE)</f>
        <v>570.4</v>
      </c>
      <c r="S523" s="249" t="str">
        <f>L522</f>
        <v>m</v>
      </c>
      <c r="T523" s="244"/>
      <c r="U523" s="1124"/>
      <c r="V523" s="418">
        <f>V524</f>
        <v>27.200000000000045</v>
      </c>
    </row>
    <row r="524" spans="1:27" s="40" customFormat="1">
      <c r="A524" s="1106" t="s">
        <v>45</v>
      </c>
      <c r="B524" s="250"/>
      <c r="C524" s="598"/>
      <c r="D524" s="2539"/>
      <c r="E524" s="2540"/>
      <c r="F524" s="2540"/>
      <c r="G524" s="2540"/>
      <c r="H524" s="2540"/>
      <c r="I524" s="2541"/>
      <c r="J524" s="2517"/>
      <c r="K524" s="2518"/>
      <c r="L524" s="2555"/>
      <c r="M524" s="2556" t="s">
        <v>261</v>
      </c>
      <c r="N524" s="2557"/>
      <c r="O524" s="2557"/>
      <c r="P524" s="2557"/>
      <c r="Q524" s="2558"/>
      <c r="R524" s="248">
        <f>R522-R523</f>
        <v>27.200000000000045</v>
      </c>
      <c r="S524" s="249" t="str">
        <f>L522</f>
        <v>m</v>
      </c>
      <c r="T524" s="562"/>
      <c r="U524" s="563"/>
      <c r="V524" s="418">
        <f>R524</f>
        <v>27.200000000000045</v>
      </c>
    </row>
    <row r="525" spans="1:27" s="40" customFormat="1" hidden="1">
      <c r="A525" s="1106"/>
      <c r="B525" s="253"/>
      <c r="C525" s="2062"/>
      <c r="D525" s="2063"/>
      <c r="E525" s="2064"/>
      <c r="F525" s="2063"/>
      <c r="G525" s="2063"/>
      <c r="H525" s="2063"/>
      <c r="I525" s="2063"/>
      <c r="J525" s="2065"/>
      <c r="K525" s="2066"/>
      <c r="L525" s="2067"/>
      <c r="M525" s="2068"/>
      <c r="N525" s="2068"/>
      <c r="O525" s="2068"/>
      <c r="P525" s="2068"/>
      <c r="Q525" s="2068"/>
      <c r="R525" s="2069"/>
      <c r="S525" s="2070"/>
      <c r="T525" s="562"/>
      <c r="U525" s="563"/>
      <c r="V525" s="418" t="e">
        <f ca="1">SUM(V497:V524)</f>
        <v>#REF!</v>
      </c>
    </row>
    <row r="526" spans="1:27" s="326" customFormat="1" hidden="1">
      <c r="A526" s="1770"/>
      <c r="B526" s="166" t="str">
        <f>LEFT(A536,7)</f>
        <v>2.4.3</v>
      </c>
      <c r="C526" s="167" t="str">
        <f>VLOOKUP(LEFT(A536,7),'11 - FINANCEIRA'!_xlnm.Print_Area,2,FALSE)</f>
        <v>Movimento de Terra</v>
      </c>
      <c r="D526" s="167"/>
      <c r="E526" s="168"/>
      <c r="F526" s="167"/>
      <c r="G526" s="2696"/>
      <c r="H526" s="2696"/>
      <c r="I526" s="2696"/>
      <c r="J526" s="2696"/>
      <c r="K526" s="2696"/>
      <c r="L526" s="2696"/>
      <c r="M526" s="171"/>
      <c r="N526" s="172"/>
      <c r="O526" s="171"/>
      <c r="P526" s="171"/>
      <c r="Q526" s="171"/>
      <c r="R526" s="171"/>
      <c r="S526" s="171"/>
      <c r="T526" s="171"/>
      <c r="U526" s="493"/>
      <c r="V526" s="511">
        <f>SUM(V527:V588)</f>
        <v>0</v>
      </c>
    </row>
    <row r="527" spans="1:27" s="176" customFormat="1" hidden="1">
      <c r="A527" s="1106"/>
      <c r="B527" s="2463">
        <f>VLOOKUP(A537,'11 - FINANCEIRA'!_xlnm.Print_Area,2,FALSE)</f>
        <v>4805757</v>
      </c>
      <c r="C527" s="2465" t="str">
        <f>VLOOKUP(A537,'11 - FINANCEIRA'!_xlnm.Print_Area,3,FALSE)</f>
        <v>Escavação mecânica de vala em material de 1ª categoria</v>
      </c>
      <c r="D527" s="2472" t="s">
        <v>242</v>
      </c>
      <c r="E527" s="2473"/>
      <c r="F527" s="2473"/>
      <c r="G527" s="2473"/>
      <c r="H527" s="2473"/>
      <c r="I527" s="2474"/>
      <c r="J527" s="2467" t="s">
        <v>243</v>
      </c>
      <c r="K527" s="2467" t="s">
        <v>244</v>
      </c>
      <c r="L527" s="2467" t="s">
        <v>245</v>
      </c>
      <c r="M527" s="2467" t="s">
        <v>246</v>
      </c>
      <c r="N527" s="2467" t="s">
        <v>247</v>
      </c>
      <c r="O527" s="2467" t="s">
        <v>248</v>
      </c>
      <c r="P527" s="173" t="s">
        <v>249</v>
      </c>
      <c r="Q527" s="2467" t="s">
        <v>250</v>
      </c>
      <c r="R527" s="2579" t="s">
        <v>139</v>
      </c>
      <c r="S527" s="2467" t="s">
        <v>251</v>
      </c>
      <c r="T527" s="2467" t="s">
        <v>252</v>
      </c>
      <c r="U527" s="2584" t="s">
        <v>253</v>
      </c>
      <c r="V527" s="174">
        <f t="shared" ref="V527:V536" si="57">V528</f>
        <v>0</v>
      </c>
      <c r="W527" s="175"/>
      <c r="X527" s="175"/>
      <c r="Y527" s="175"/>
      <c r="Z527" s="175"/>
      <c r="AA527" s="175"/>
    </row>
    <row r="528" spans="1:27" s="176" customFormat="1" hidden="1">
      <c r="A528" s="1106"/>
      <c r="B528" s="2464" t="e">
        <f>LEFT(#REF!,5)</f>
        <v>#REF!</v>
      </c>
      <c r="C528" s="2466" t="e">
        <f>VLOOKUP(LEFT(#REF!,5),'11 - FINANCEIRA'!_xlnm.Print_Area,2,FALSE)</f>
        <v>#REF!</v>
      </c>
      <c r="D528" s="2475" t="s">
        <v>254</v>
      </c>
      <c r="E528" s="2476"/>
      <c r="F528" s="2477"/>
      <c r="G528" s="2469" t="s">
        <v>255</v>
      </c>
      <c r="H528" s="2470"/>
      <c r="I528" s="2471"/>
      <c r="J528" s="2468"/>
      <c r="K528" s="2468"/>
      <c r="L528" s="2468"/>
      <c r="M528" s="2468"/>
      <c r="N528" s="2468"/>
      <c r="O528" s="2468"/>
      <c r="P528" s="177" t="s">
        <v>256</v>
      </c>
      <c r="Q528" s="2468"/>
      <c r="R528" s="2580"/>
      <c r="S528" s="2468"/>
      <c r="T528" s="2468"/>
      <c r="U528" s="2585"/>
      <c r="V528" s="174">
        <f t="shared" si="57"/>
        <v>0</v>
      </c>
      <c r="W528" s="175"/>
      <c r="X528" s="175"/>
      <c r="Y528" s="175"/>
      <c r="Z528" s="175"/>
      <c r="AA528" s="175"/>
    </row>
    <row r="529" spans="1:27" s="176" customFormat="1" ht="30" hidden="1">
      <c r="A529" s="1110"/>
      <c r="B529" s="512"/>
      <c r="C529" s="266" t="s">
        <v>332</v>
      </c>
      <c r="D529" s="419">
        <v>0</v>
      </c>
      <c r="E529" s="420" t="s">
        <v>299</v>
      </c>
      <c r="F529" s="421">
        <v>0</v>
      </c>
      <c r="G529" s="422">
        <v>1</v>
      </c>
      <c r="H529" s="423" t="s">
        <v>299</v>
      </c>
      <c r="I529" s="513">
        <v>2.226</v>
      </c>
      <c r="J529" s="425" t="s">
        <v>300</v>
      </c>
      <c r="K529" s="425">
        <f>(G529-D529)*20+I529-F529</f>
        <v>22.225999999999999</v>
      </c>
      <c r="L529" s="425"/>
      <c r="M529" s="425"/>
      <c r="N529" s="425"/>
      <c r="O529" s="425"/>
      <c r="P529" s="514"/>
      <c r="Q529" s="425"/>
      <c r="R529" s="515">
        <v>491.08199999999999</v>
      </c>
      <c r="S529" s="425" t="s">
        <v>164</v>
      </c>
      <c r="T529" s="427">
        <v>7</v>
      </c>
      <c r="U529" s="490" t="s">
        <v>301</v>
      </c>
      <c r="V529" s="306">
        <f t="shared" si="57"/>
        <v>0</v>
      </c>
      <c r="W529" s="175"/>
      <c r="X529" s="175"/>
      <c r="Y529" s="175"/>
      <c r="Z529" s="175"/>
      <c r="AA529" s="175"/>
    </row>
    <row r="530" spans="1:27" s="176" customFormat="1" ht="19.149999999999999" hidden="1" customHeight="1">
      <c r="A530" s="1106"/>
      <c r="B530" s="195"/>
      <c r="C530" s="277"/>
      <c r="D530" s="278"/>
      <c r="E530" s="279"/>
      <c r="F530" s="280"/>
      <c r="G530" s="281"/>
      <c r="H530" s="282"/>
      <c r="I530" s="283"/>
      <c r="J530" s="284"/>
      <c r="K530" s="278"/>
      <c r="L530" s="284"/>
      <c r="M530" s="280"/>
      <c r="N530" s="279"/>
      <c r="O530" s="278"/>
      <c r="P530" s="285"/>
      <c r="Q530" s="280"/>
      <c r="R530" s="304">
        <v>-491.08199999999999</v>
      </c>
      <c r="S530" s="192" t="s">
        <v>164</v>
      </c>
      <c r="T530" s="193">
        <v>8</v>
      </c>
      <c r="U530" s="435" t="s">
        <v>333</v>
      </c>
      <c r="V530" s="174">
        <f t="shared" si="57"/>
        <v>0</v>
      </c>
      <c r="W530" s="175"/>
      <c r="X530" s="175"/>
      <c r="Y530" s="175"/>
      <c r="Z530" s="175"/>
      <c r="AA530" s="175"/>
    </row>
    <row r="531" spans="1:27" s="175" customFormat="1" ht="30" hidden="1">
      <c r="A531" s="1110"/>
      <c r="B531" s="342"/>
      <c r="C531" s="495" t="s">
        <v>334</v>
      </c>
      <c r="D531" s="496">
        <v>9</v>
      </c>
      <c r="E531" s="497" t="s">
        <v>299</v>
      </c>
      <c r="F531" s="498">
        <v>17</v>
      </c>
      <c r="G531" s="496">
        <v>11</v>
      </c>
      <c r="H531" s="497" t="s">
        <v>299</v>
      </c>
      <c r="I531" s="498">
        <v>13</v>
      </c>
      <c r="J531" s="340" t="s">
        <v>300</v>
      </c>
      <c r="K531" s="340">
        <v>40.5</v>
      </c>
      <c r="L531" s="340">
        <v>0.8</v>
      </c>
      <c r="M531" s="340">
        <v>1.2</v>
      </c>
      <c r="N531" s="344"/>
      <c r="O531" s="345"/>
      <c r="P531" s="344"/>
      <c r="Q531" s="345"/>
      <c r="R531" s="346">
        <v>38.879999999999995</v>
      </c>
      <c r="S531" s="406" t="s">
        <v>164</v>
      </c>
      <c r="T531" s="347">
        <v>8</v>
      </c>
      <c r="U531" s="508" t="s">
        <v>304</v>
      </c>
      <c r="V531" s="306">
        <f t="shared" si="57"/>
        <v>0</v>
      </c>
    </row>
    <row r="532" spans="1:27" s="175" customFormat="1" ht="30" hidden="1">
      <c r="A532" s="1110"/>
      <c r="B532" s="342"/>
      <c r="C532" s="495" t="s">
        <v>334</v>
      </c>
      <c r="D532" s="496">
        <v>9</v>
      </c>
      <c r="E532" s="497" t="s">
        <v>299</v>
      </c>
      <c r="F532" s="498">
        <v>10</v>
      </c>
      <c r="G532" s="496">
        <v>13</v>
      </c>
      <c r="H532" s="497" t="s">
        <v>299</v>
      </c>
      <c r="I532" s="498">
        <v>7</v>
      </c>
      <c r="J532" s="340" t="s">
        <v>300</v>
      </c>
      <c r="K532" s="509">
        <f>(G532-D532)*20+I532-F532</f>
        <v>77</v>
      </c>
      <c r="L532" s="340">
        <v>0.8</v>
      </c>
      <c r="M532" s="340">
        <v>1.2</v>
      </c>
      <c r="N532" s="344"/>
      <c r="O532" s="345"/>
      <c r="P532" s="344"/>
      <c r="Q532" s="345"/>
      <c r="R532" s="346">
        <f>K532*L532*M532</f>
        <v>73.92</v>
      </c>
      <c r="S532" s="406" t="s">
        <v>164</v>
      </c>
      <c r="T532" s="347">
        <v>22</v>
      </c>
      <c r="U532" s="508" t="s">
        <v>304</v>
      </c>
      <c r="V532" s="306">
        <f>V535</f>
        <v>0</v>
      </c>
    </row>
    <row r="533" spans="1:27" s="688" customFormat="1" ht="17.45" hidden="1" customHeight="1">
      <c r="A533" s="1108"/>
      <c r="B533" s="767"/>
      <c r="C533" s="510"/>
      <c r="D533" s="770"/>
      <c r="E533" s="1163"/>
      <c r="F533" s="771"/>
      <c r="G533" s="770"/>
      <c r="H533" s="1163"/>
      <c r="I533" s="771"/>
      <c r="J533" s="1207"/>
      <c r="K533" s="438"/>
      <c r="L533" s="439"/>
      <c r="M533" s="865"/>
      <c r="N533" s="864"/>
      <c r="O533" s="1229"/>
      <c r="P533" s="453"/>
      <c r="Q533" s="438"/>
      <c r="R533" s="454"/>
      <c r="S533" s="865"/>
      <c r="T533" s="441"/>
      <c r="U533" s="595"/>
      <c r="V533" s="713"/>
    </row>
    <row r="534" spans="1:27" s="175" customFormat="1" hidden="1">
      <c r="A534" s="1110"/>
      <c r="B534" s="1369"/>
      <c r="C534" s="1370"/>
      <c r="D534" s="1234"/>
      <c r="E534" s="1371"/>
      <c r="F534" s="653"/>
      <c r="G534" s="653"/>
      <c r="H534" s="1371"/>
      <c r="I534" s="1235"/>
      <c r="J534" s="1125"/>
      <c r="K534" s="1152"/>
      <c r="L534" s="1136"/>
      <c r="M534" s="1125"/>
      <c r="N534" s="1372"/>
      <c r="O534" s="1373"/>
      <c r="P534" s="1372"/>
      <c r="Q534" s="1374"/>
      <c r="R534" s="1375"/>
      <c r="S534" s="1373"/>
      <c r="T534" s="1028"/>
      <c r="U534" s="1236"/>
      <c r="V534" s="306"/>
    </row>
    <row r="535" spans="1:27" s="40" customFormat="1" hidden="1">
      <c r="A535" s="1106"/>
      <c r="B535" s="239"/>
      <c r="C535" s="1603"/>
      <c r="D535" s="2527" t="s">
        <v>257</v>
      </c>
      <c r="E535" s="2528"/>
      <c r="F535" s="2528"/>
      <c r="G535" s="2528"/>
      <c r="H535" s="2528"/>
      <c r="I535" s="2529"/>
      <c r="J535" s="2668">
        <f>VLOOKUP(A537,'11 - FINANCEIRA'!_xlnm.Print_Area,30,FALSE)</f>
        <v>1980</v>
      </c>
      <c r="K535" s="2669"/>
      <c r="L535" s="309" t="str">
        <f>VLOOKUP(A537,'11 - FINANCEIRA'!_xlnm.Print_Area,4,FALSE)</f>
        <v>m³</v>
      </c>
      <c r="M535" s="2556" t="s">
        <v>258</v>
      </c>
      <c r="N535" s="2557"/>
      <c r="O535" s="2557"/>
      <c r="P535" s="2557"/>
      <c r="Q535" s="2558"/>
      <c r="R535" s="248">
        <f>SUM(R529:R533)</f>
        <v>112.8</v>
      </c>
      <c r="S535" s="310" t="str">
        <f>L535</f>
        <v>m³</v>
      </c>
      <c r="T535" s="321"/>
      <c r="U535" s="322"/>
      <c r="V535" s="174">
        <f t="shared" si="57"/>
        <v>0</v>
      </c>
    </row>
    <row r="536" spans="1:27" s="40" customFormat="1" hidden="1">
      <c r="A536" s="1106" t="s">
        <v>46</v>
      </c>
      <c r="B536" s="246"/>
      <c r="C536" s="247"/>
      <c r="D536" s="2521" t="s">
        <v>259</v>
      </c>
      <c r="E536" s="2522"/>
      <c r="F536" s="2522"/>
      <c r="G536" s="2522"/>
      <c r="H536" s="2522"/>
      <c r="I536" s="2523"/>
      <c r="J536" s="2515">
        <f>R535/J535</f>
        <v>5.6969696969696969E-2</v>
      </c>
      <c r="K536" s="2516"/>
      <c r="L536" s="2554"/>
      <c r="M536" s="2556" t="s">
        <v>260</v>
      </c>
      <c r="N536" s="2557"/>
      <c r="O536" s="2557"/>
      <c r="P536" s="2557"/>
      <c r="Q536" s="2558"/>
      <c r="R536" s="248">
        <f>VLOOKUP(A537,'11 - FINANCEIRA'!_xlnm.Print_Area,8,FALSE)</f>
        <v>112.8</v>
      </c>
      <c r="S536" s="249" t="str">
        <f>L535</f>
        <v>m³</v>
      </c>
      <c r="T536" s="244"/>
      <c r="U536" s="245"/>
      <c r="V536" s="174">
        <f t="shared" si="57"/>
        <v>0</v>
      </c>
    </row>
    <row r="537" spans="1:27" s="40" customFormat="1" hidden="1">
      <c r="A537" s="1106" t="s">
        <v>47</v>
      </c>
      <c r="B537" s="246"/>
      <c r="C537" s="240"/>
      <c r="D537" s="2524"/>
      <c r="E537" s="2525"/>
      <c r="F537" s="2525"/>
      <c r="G537" s="2525"/>
      <c r="H537" s="2525"/>
      <c r="I537" s="2526"/>
      <c r="J537" s="2519"/>
      <c r="K537" s="2520"/>
      <c r="L537" s="2570"/>
      <c r="M537" s="2574" t="s">
        <v>261</v>
      </c>
      <c r="N537" s="2575"/>
      <c r="O537" s="2575"/>
      <c r="P537" s="2575"/>
      <c r="Q537" s="2576"/>
      <c r="R537" s="251">
        <f>R535-R536</f>
        <v>0</v>
      </c>
      <c r="S537" s="252" t="str">
        <f>L535</f>
        <v>m³</v>
      </c>
      <c r="T537" s="244"/>
      <c r="U537" s="245"/>
      <c r="V537" s="174">
        <f>R537</f>
        <v>0</v>
      </c>
    </row>
    <row r="538" spans="1:27" s="40" customFormat="1" hidden="1">
      <c r="A538" s="1106"/>
      <c r="B538" s="295"/>
      <c r="C538" s="254"/>
      <c r="D538" s="255"/>
      <c r="E538" s="256"/>
      <c r="F538" s="255"/>
      <c r="G538" s="255"/>
      <c r="H538" s="255"/>
      <c r="I538" s="255"/>
      <c r="J538" s="257"/>
      <c r="K538" s="258"/>
      <c r="L538" s="259"/>
      <c r="M538" s="260"/>
      <c r="N538" s="260"/>
      <c r="O538" s="260"/>
      <c r="P538" s="260"/>
      <c r="Q538" s="260"/>
      <c r="R538" s="261"/>
      <c r="S538" s="262"/>
      <c r="T538" s="263"/>
      <c r="U538" s="264"/>
      <c r="V538" s="265">
        <f>SUM(V527:V537)</f>
        <v>0</v>
      </c>
    </row>
    <row r="539" spans="1:27" s="176" customFormat="1" hidden="1">
      <c r="A539" s="1106"/>
      <c r="B539" s="2463">
        <f>VLOOKUP(A547,'11 - FINANCEIRA'!_xlnm.Print_Area,2,FALSE)</f>
        <v>4805749</v>
      </c>
      <c r="C539" s="2503" t="str">
        <f>VLOOKUP(A547,'11 - FINANCEIRA'!_xlnm.Print_Area,3,FALSE)</f>
        <v>Escavação manual de vala em material de 1ª categoria</v>
      </c>
      <c r="D539" s="2472" t="s">
        <v>242</v>
      </c>
      <c r="E539" s="2473"/>
      <c r="F539" s="2473"/>
      <c r="G539" s="2473"/>
      <c r="H539" s="2473"/>
      <c r="I539" s="2474"/>
      <c r="J539" s="2467" t="s">
        <v>243</v>
      </c>
      <c r="K539" s="2467" t="s">
        <v>244</v>
      </c>
      <c r="L539" s="2467" t="s">
        <v>245</v>
      </c>
      <c r="M539" s="2467" t="s">
        <v>246</v>
      </c>
      <c r="N539" s="2467" t="s">
        <v>247</v>
      </c>
      <c r="O539" s="2467" t="s">
        <v>248</v>
      </c>
      <c r="P539" s="173" t="s">
        <v>249</v>
      </c>
      <c r="Q539" s="2467" t="s">
        <v>250</v>
      </c>
      <c r="R539" s="2579" t="s">
        <v>139</v>
      </c>
      <c r="S539" s="2467" t="s">
        <v>476</v>
      </c>
      <c r="T539" s="2467" t="s">
        <v>252</v>
      </c>
      <c r="U539" s="2584" t="s">
        <v>253</v>
      </c>
      <c r="V539" s="174">
        <f t="shared" ref="V539:V546" si="58">V540</f>
        <v>0</v>
      </c>
      <c r="W539" s="175"/>
      <c r="X539" s="175"/>
      <c r="Y539" s="175"/>
      <c r="Z539" s="175"/>
      <c r="AA539" s="175"/>
    </row>
    <row r="540" spans="1:27" s="176" customFormat="1" hidden="1">
      <c r="A540" s="1106"/>
      <c r="B540" s="2464" t="e">
        <f>LEFT(#REF!,5)</f>
        <v>#REF!</v>
      </c>
      <c r="C540" s="2504" t="e">
        <f>VLOOKUP(LEFT(#REF!,5),'11 - FINANCEIRA'!_xlnm.Print_Area,2,FALSE)</f>
        <v>#REF!</v>
      </c>
      <c r="D540" s="2475" t="s">
        <v>254</v>
      </c>
      <c r="E540" s="2476"/>
      <c r="F540" s="2477"/>
      <c r="G540" s="2469" t="s">
        <v>255</v>
      </c>
      <c r="H540" s="2470"/>
      <c r="I540" s="2471"/>
      <c r="J540" s="2468"/>
      <c r="K540" s="2468"/>
      <c r="L540" s="2468"/>
      <c r="M540" s="2468"/>
      <c r="N540" s="2468"/>
      <c r="O540" s="2468"/>
      <c r="P540" s="177" t="s">
        <v>256</v>
      </c>
      <c r="Q540" s="2468"/>
      <c r="R540" s="2580"/>
      <c r="S540" s="2468"/>
      <c r="T540" s="2468"/>
      <c r="U540" s="2585"/>
      <c r="V540" s="174">
        <f t="shared" si="58"/>
        <v>0</v>
      </c>
      <c r="W540" s="175"/>
      <c r="X540" s="175"/>
      <c r="Y540" s="175"/>
      <c r="Z540" s="175"/>
      <c r="AA540" s="175"/>
    </row>
    <row r="541" spans="1:27" s="176" customFormat="1" hidden="1">
      <c r="A541" s="1110"/>
      <c r="B541" s="336"/>
      <c r="C541" s="266" t="s">
        <v>909</v>
      </c>
      <c r="D541" s="485">
        <v>26</v>
      </c>
      <c r="E541" s="470"/>
      <c r="F541" s="486"/>
      <c r="G541" s="487"/>
      <c r="H541" s="473"/>
      <c r="I541" s="488"/>
      <c r="J541" s="275"/>
      <c r="K541" s="275">
        <v>6</v>
      </c>
      <c r="L541" s="275">
        <v>0.6</v>
      </c>
      <c r="M541" s="275">
        <v>1</v>
      </c>
      <c r="N541" s="275"/>
      <c r="O541" s="275"/>
      <c r="P541" s="338"/>
      <c r="Q541" s="275"/>
      <c r="R541" s="191">
        <f>K541*L541*M541</f>
        <v>3.5999999999999996</v>
      </c>
      <c r="S541" s="275" t="s">
        <v>476</v>
      </c>
      <c r="T541" s="276">
        <v>22</v>
      </c>
      <c r="U541" s="876"/>
      <c r="V541" s="306">
        <f t="shared" si="58"/>
        <v>0</v>
      </c>
      <c r="W541" s="175"/>
      <c r="X541" s="175"/>
      <c r="Y541" s="175"/>
      <c r="Z541" s="175"/>
      <c r="AA541" s="175"/>
    </row>
    <row r="542" spans="1:27" s="176" customFormat="1" hidden="1">
      <c r="A542" s="1110"/>
      <c r="B542" s="296"/>
      <c r="C542" s="339" t="s">
        <v>909</v>
      </c>
      <c r="D542" s="560">
        <v>29</v>
      </c>
      <c r="E542" s="464"/>
      <c r="F542" s="463"/>
      <c r="G542" s="458"/>
      <c r="H542" s="459"/>
      <c r="I542" s="460"/>
      <c r="J542" s="340"/>
      <c r="K542" s="560">
        <v>6</v>
      </c>
      <c r="L542" s="340">
        <v>0.6</v>
      </c>
      <c r="M542" s="463">
        <v>1</v>
      </c>
      <c r="N542" s="464"/>
      <c r="O542" s="560"/>
      <c r="P542" s="461"/>
      <c r="Q542" s="463"/>
      <c r="R542" s="462">
        <f>K542*L542*M542</f>
        <v>3.5999999999999996</v>
      </c>
      <c r="S542" s="340" t="s">
        <v>476</v>
      </c>
      <c r="T542" s="347">
        <v>22</v>
      </c>
      <c r="U542" s="341"/>
      <c r="V542" s="306">
        <f t="shared" si="58"/>
        <v>0</v>
      </c>
      <c r="W542" s="175"/>
      <c r="X542" s="175"/>
      <c r="Y542" s="175"/>
      <c r="Z542" s="175"/>
      <c r="AA542" s="175"/>
    </row>
    <row r="543" spans="1:27" s="175" customFormat="1" hidden="1">
      <c r="A543" s="1107"/>
      <c r="B543" s="342"/>
      <c r="C543" s="495"/>
      <c r="D543" s="499"/>
      <c r="E543" s="497"/>
      <c r="F543" s="500"/>
      <c r="G543" s="499"/>
      <c r="H543" s="497"/>
      <c r="I543" s="500"/>
      <c r="J543" s="340"/>
      <c r="K543" s="344"/>
      <c r="L543" s="344"/>
      <c r="M543" s="344"/>
      <c r="N543" s="344"/>
      <c r="O543" s="345"/>
      <c r="P543" s="344"/>
      <c r="Q543" s="345"/>
      <c r="R543" s="346"/>
      <c r="S543" s="406"/>
      <c r="T543" s="347"/>
      <c r="U543" s="393"/>
      <c r="V543" s="306">
        <f t="shared" si="58"/>
        <v>0</v>
      </c>
    </row>
    <row r="544" spans="1:27" s="222" customFormat="1" hidden="1">
      <c r="A544" s="1106"/>
      <c r="B544" s="223"/>
      <c r="C544" s="224"/>
      <c r="D544" s="225"/>
      <c r="E544" s="226"/>
      <c r="F544" s="227"/>
      <c r="G544" s="225"/>
      <c r="H544" s="226"/>
      <c r="I544" s="227"/>
      <c r="J544" s="228"/>
      <c r="K544" s="229"/>
      <c r="L544" s="230"/>
      <c r="M544" s="231"/>
      <c r="N544" s="232"/>
      <c r="O544" s="233"/>
      <c r="P544" s="230"/>
      <c r="Q544" s="234"/>
      <c r="R544" s="235"/>
      <c r="S544" s="236"/>
      <c r="T544" s="294"/>
      <c r="U544" s="238"/>
      <c r="V544" s="174">
        <f t="shared" si="58"/>
        <v>0</v>
      </c>
    </row>
    <row r="545" spans="1:27" s="40" customFormat="1" hidden="1">
      <c r="A545" s="1106"/>
      <c r="B545" s="246"/>
      <c r="C545" s="240"/>
      <c r="D545" s="2527" t="s">
        <v>257</v>
      </c>
      <c r="E545" s="2528"/>
      <c r="F545" s="2528"/>
      <c r="G545" s="2528"/>
      <c r="H545" s="2528"/>
      <c r="I545" s="2529"/>
      <c r="J545" s="2668">
        <f>VLOOKUP(A547,'11 - FINANCEIRA'!_xlnm.Print_Area,30,FALSE)</f>
        <v>220</v>
      </c>
      <c r="K545" s="2669"/>
      <c r="L545" s="309" t="str">
        <f>VLOOKUP(A547,'11 - FINANCEIRA'!_xlnm.Print_Area,4,FALSE)</f>
        <v>m³</v>
      </c>
      <c r="M545" s="2556" t="s">
        <v>258</v>
      </c>
      <c r="N545" s="2557"/>
      <c r="O545" s="2557"/>
      <c r="P545" s="2557"/>
      <c r="Q545" s="2558"/>
      <c r="R545" s="248">
        <f>SUM(R541:R544)</f>
        <v>7.1999999999999993</v>
      </c>
      <c r="S545" s="310" t="str">
        <f>L545</f>
        <v>m³</v>
      </c>
      <c r="T545" s="244"/>
      <c r="U545" s="245"/>
      <c r="V545" s="174">
        <f t="shared" si="58"/>
        <v>0</v>
      </c>
    </row>
    <row r="546" spans="1:27" s="40" customFormat="1" hidden="1">
      <c r="A546" s="1106"/>
      <c r="B546" s="246"/>
      <c r="C546" s="247"/>
      <c r="D546" s="2521" t="s">
        <v>259</v>
      </c>
      <c r="E546" s="2522"/>
      <c r="F546" s="2522"/>
      <c r="G546" s="2522"/>
      <c r="H546" s="2522"/>
      <c r="I546" s="2523"/>
      <c r="J546" s="2515">
        <f>R545/J545</f>
        <v>3.2727272727272723E-2</v>
      </c>
      <c r="K546" s="2516"/>
      <c r="L546" s="2554"/>
      <c r="M546" s="2556" t="s">
        <v>260</v>
      </c>
      <c r="N546" s="2557"/>
      <c r="O546" s="2557"/>
      <c r="P546" s="2557"/>
      <c r="Q546" s="2558"/>
      <c r="R546" s="248">
        <f>VLOOKUP(A547,'11 - FINANCEIRA'!_xlnm.Print_Area,8,FALSE)</f>
        <v>7.1999999999999993</v>
      </c>
      <c r="S546" s="249" t="str">
        <f>L545</f>
        <v>m³</v>
      </c>
      <c r="T546" s="244"/>
      <c r="U546" s="245"/>
      <c r="V546" s="174">
        <f t="shared" si="58"/>
        <v>0</v>
      </c>
    </row>
    <row r="547" spans="1:27" s="40" customFormat="1" hidden="1">
      <c r="A547" s="1106" t="s">
        <v>48</v>
      </c>
      <c r="B547" s="246"/>
      <c r="C547" s="240"/>
      <c r="D547" s="2524"/>
      <c r="E547" s="2525"/>
      <c r="F547" s="2525"/>
      <c r="G547" s="2525"/>
      <c r="H547" s="2525"/>
      <c r="I547" s="2526"/>
      <c r="J547" s="2519"/>
      <c r="K547" s="2520"/>
      <c r="L547" s="2570"/>
      <c r="M547" s="2574" t="s">
        <v>261</v>
      </c>
      <c r="N547" s="2575"/>
      <c r="O547" s="2575"/>
      <c r="P547" s="2575"/>
      <c r="Q547" s="2576"/>
      <c r="R547" s="251">
        <f>R545-R546</f>
        <v>0</v>
      </c>
      <c r="S547" s="252" t="str">
        <f>L545</f>
        <v>m³</v>
      </c>
      <c r="T547" s="244"/>
      <c r="U547" s="245"/>
      <c r="V547" s="174">
        <f>R547</f>
        <v>0</v>
      </c>
    </row>
    <row r="548" spans="1:27" s="40" customFormat="1" hidden="1">
      <c r="A548" s="1106"/>
      <c r="B548" s="295"/>
      <c r="C548" s="254"/>
      <c r="D548" s="255"/>
      <c r="E548" s="256"/>
      <c r="F548" s="255"/>
      <c r="G548" s="255"/>
      <c r="H548" s="255"/>
      <c r="I548" s="255"/>
      <c r="J548" s="257"/>
      <c r="K548" s="258"/>
      <c r="L548" s="259"/>
      <c r="M548" s="260"/>
      <c r="N548" s="260"/>
      <c r="O548" s="260"/>
      <c r="P548" s="260"/>
      <c r="Q548" s="260"/>
      <c r="R548" s="261"/>
      <c r="S548" s="262"/>
      <c r="T548" s="263"/>
      <c r="U548" s="264"/>
      <c r="V548" s="265">
        <f>SUM(V539:V547)</f>
        <v>0</v>
      </c>
    </row>
    <row r="549" spans="1:27" s="176" customFormat="1" hidden="1">
      <c r="A549" s="1104"/>
      <c r="B549" s="2463">
        <f>VLOOKUP(A557,'11 - FINANCEIRA'!_xlnm.Print_Area,2,FALSE)</f>
        <v>30206</v>
      </c>
      <c r="C549" s="2644" t="str">
        <f>VLOOKUP(A557,'11 - FINANCEIRA'!_xlnm.Print_Area,3,FALSE)</f>
        <v xml:space="preserve">Regularização do terreno em areia, inclusive adensamento hidráulico e fornecimento do material </v>
      </c>
      <c r="D549" s="2472" t="s">
        <v>242</v>
      </c>
      <c r="E549" s="2473"/>
      <c r="F549" s="2473"/>
      <c r="G549" s="2473"/>
      <c r="H549" s="2473"/>
      <c r="I549" s="2474"/>
      <c r="J549" s="2467" t="s">
        <v>243</v>
      </c>
      <c r="K549" s="2467" t="s">
        <v>244</v>
      </c>
      <c r="L549" s="2467" t="s">
        <v>245</v>
      </c>
      <c r="M549" s="2467" t="s">
        <v>246</v>
      </c>
      <c r="N549" s="2467" t="s">
        <v>247</v>
      </c>
      <c r="O549" s="2467" t="s">
        <v>248</v>
      </c>
      <c r="P549" s="173" t="s">
        <v>249</v>
      </c>
      <c r="Q549" s="2467" t="s">
        <v>250</v>
      </c>
      <c r="R549" s="2579" t="s">
        <v>139</v>
      </c>
      <c r="S549" s="2467" t="s">
        <v>251</v>
      </c>
      <c r="T549" s="2467" t="s">
        <v>252</v>
      </c>
      <c r="U549" s="2584" t="s">
        <v>253</v>
      </c>
      <c r="V549" s="174">
        <f t="shared" ref="V549:V556" si="59">V550</f>
        <v>0</v>
      </c>
      <c r="W549" s="175"/>
      <c r="X549" s="175"/>
      <c r="Y549" s="175"/>
      <c r="Z549" s="175"/>
      <c r="AA549" s="175"/>
    </row>
    <row r="550" spans="1:27" s="176" customFormat="1" hidden="1">
      <c r="A550" s="1104"/>
      <c r="B550" s="2464" t="e">
        <f>LEFT(#REF!,5)</f>
        <v>#REF!</v>
      </c>
      <c r="C550" s="2645" t="e">
        <f>VLOOKUP(LEFT(#REF!,5),'11 - FINANCEIRA'!_xlnm.Print_Area,2,FALSE)</f>
        <v>#REF!</v>
      </c>
      <c r="D550" s="2475" t="s">
        <v>254</v>
      </c>
      <c r="E550" s="2476"/>
      <c r="F550" s="2477"/>
      <c r="G550" s="2469" t="s">
        <v>255</v>
      </c>
      <c r="H550" s="2470"/>
      <c r="I550" s="2471"/>
      <c r="J550" s="2468"/>
      <c r="K550" s="2468"/>
      <c r="L550" s="2468"/>
      <c r="M550" s="2468"/>
      <c r="N550" s="2468"/>
      <c r="O550" s="2468"/>
      <c r="P550" s="177" t="s">
        <v>256</v>
      </c>
      <c r="Q550" s="2468"/>
      <c r="R550" s="2580"/>
      <c r="S550" s="2468"/>
      <c r="T550" s="2468"/>
      <c r="U550" s="2585"/>
      <c r="V550" s="174">
        <f t="shared" si="59"/>
        <v>0</v>
      </c>
      <c r="W550" s="175"/>
      <c r="X550" s="175"/>
      <c r="Y550" s="175"/>
      <c r="Z550" s="175"/>
      <c r="AA550" s="175"/>
    </row>
    <row r="551" spans="1:27" s="176" customFormat="1" hidden="1">
      <c r="A551" s="1104"/>
      <c r="B551" s="178"/>
      <c r="C551" s="307"/>
      <c r="D551" s="267"/>
      <c r="E551" s="268"/>
      <c r="F551" s="269"/>
      <c r="G551" s="270"/>
      <c r="H551" s="271"/>
      <c r="I551" s="272"/>
      <c r="J551" s="273"/>
      <c r="K551" s="273"/>
      <c r="L551" s="273"/>
      <c r="M551" s="273"/>
      <c r="N551" s="273"/>
      <c r="O551" s="273"/>
      <c r="P551" s="274"/>
      <c r="Q551" s="273"/>
      <c r="R551" s="308"/>
      <c r="S551" s="273"/>
      <c r="T551" s="276"/>
      <c r="U551" s="194"/>
      <c r="V551" s="174">
        <f t="shared" si="59"/>
        <v>0</v>
      </c>
      <c r="W551" s="175"/>
      <c r="X551" s="175"/>
      <c r="Y551" s="175"/>
      <c r="Z551" s="175"/>
      <c r="AA551" s="175"/>
    </row>
    <row r="552" spans="1:27" s="176" customFormat="1" hidden="1">
      <c r="A552" s="1104"/>
      <c r="B552" s="195"/>
      <c r="C552" s="277"/>
      <c r="D552" s="278"/>
      <c r="E552" s="279"/>
      <c r="F552" s="280"/>
      <c r="G552" s="281"/>
      <c r="H552" s="282"/>
      <c r="I552" s="283"/>
      <c r="J552" s="284"/>
      <c r="K552" s="278"/>
      <c r="L552" s="284"/>
      <c r="M552" s="280"/>
      <c r="N552" s="279"/>
      <c r="O552" s="278"/>
      <c r="P552" s="285"/>
      <c r="Q552" s="280"/>
      <c r="R552" s="203"/>
      <c r="S552" s="284"/>
      <c r="T552" s="286"/>
      <c r="U552" s="205"/>
      <c r="V552" s="174">
        <f t="shared" si="59"/>
        <v>0</v>
      </c>
      <c r="W552" s="175"/>
      <c r="X552" s="175"/>
      <c r="Y552" s="175"/>
      <c r="Z552" s="175"/>
      <c r="AA552" s="175"/>
    </row>
    <row r="553" spans="1:27" s="222" customFormat="1" hidden="1">
      <c r="A553" s="1105"/>
      <c r="B553" s="206"/>
      <c r="C553" s="287"/>
      <c r="D553" s="288"/>
      <c r="E553" s="289"/>
      <c r="F553" s="290"/>
      <c r="G553" s="288"/>
      <c r="H553" s="289"/>
      <c r="I553" s="290"/>
      <c r="J553" s="201"/>
      <c r="K553" s="291"/>
      <c r="L553" s="291"/>
      <c r="M553" s="291"/>
      <c r="N553" s="291"/>
      <c r="O553" s="292"/>
      <c r="P553" s="291"/>
      <c r="Q553" s="292"/>
      <c r="R553" s="218"/>
      <c r="S553" s="293"/>
      <c r="T553" s="204"/>
      <c r="U553" s="221"/>
      <c r="V553" s="174">
        <f t="shared" si="59"/>
        <v>0</v>
      </c>
    </row>
    <row r="554" spans="1:27" s="222" customFormat="1" hidden="1">
      <c r="A554" s="1105"/>
      <c r="B554" s="223"/>
      <c r="C554" s="224"/>
      <c r="D554" s="225"/>
      <c r="E554" s="226"/>
      <c r="F554" s="227"/>
      <c r="G554" s="225"/>
      <c r="H554" s="226"/>
      <c r="I554" s="227"/>
      <c r="J554" s="228"/>
      <c r="K554" s="229"/>
      <c r="L554" s="230"/>
      <c r="M554" s="231"/>
      <c r="N554" s="232"/>
      <c r="O554" s="233"/>
      <c r="P554" s="230"/>
      <c r="Q554" s="234"/>
      <c r="R554" s="235"/>
      <c r="S554" s="236"/>
      <c r="T554" s="294"/>
      <c r="U554" s="238"/>
      <c r="V554" s="174">
        <f t="shared" si="59"/>
        <v>0</v>
      </c>
    </row>
    <row r="555" spans="1:27" s="40" customFormat="1" hidden="1">
      <c r="A555" s="1106"/>
      <c r="B555" s="246"/>
      <c r="C555" s="240"/>
      <c r="D555" s="2527" t="s">
        <v>257</v>
      </c>
      <c r="E555" s="2528"/>
      <c r="F555" s="2528"/>
      <c r="G555" s="2528"/>
      <c r="H555" s="2528"/>
      <c r="I555" s="2529"/>
      <c r="J555" s="2668">
        <f>VLOOKUP(A557,'11 - FINANCEIRA'!_xlnm.Print_Area,30,FALSE)</f>
        <v>88</v>
      </c>
      <c r="K555" s="2669"/>
      <c r="L555" s="309" t="str">
        <f>VLOOKUP(A557,'11 - FINANCEIRA'!_xlnm.Print_Area,4,FALSE)</f>
        <v>m³</v>
      </c>
      <c r="M555" s="2556" t="s">
        <v>258</v>
      </c>
      <c r="N555" s="2557"/>
      <c r="O555" s="2557"/>
      <c r="P555" s="2557"/>
      <c r="Q555" s="2558"/>
      <c r="R555" s="248">
        <f>SUM(R551:R554)</f>
        <v>0</v>
      </c>
      <c r="S555" s="310" t="str">
        <f>L555</f>
        <v>m³</v>
      </c>
      <c r="T555" s="244"/>
      <c r="U555" s="245"/>
      <c r="V555" s="174">
        <f t="shared" si="59"/>
        <v>0</v>
      </c>
    </row>
    <row r="556" spans="1:27" s="40" customFormat="1" hidden="1">
      <c r="A556" s="1106"/>
      <c r="B556" s="246"/>
      <c r="C556" s="247"/>
      <c r="D556" s="2521" t="s">
        <v>259</v>
      </c>
      <c r="E556" s="2522"/>
      <c r="F556" s="2522"/>
      <c r="G556" s="2522"/>
      <c r="H556" s="2522"/>
      <c r="I556" s="2523"/>
      <c r="J556" s="2515">
        <f>R555/J555</f>
        <v>0</v>
      </c>
      <c r="K556" s="2516"/>
      <c r="L556" s="2554"/>
      <c r="M556" s="2556" t="s">
        <v>260</v>
      </c>
      <c r="N556" s="2557"/>
      <c r="O556" s="2557"/>
      <c r="P556" s="2557"/>
      <c r="Q556" s="2558"/>
      <c r="R556" s="248">
        <f>VLOOKUP(A557,'11 - FINANCEIRA'!_xlnm.Print_Area,8,FALSE)</f>
        <v>0</v>
      </c>
      <c r="S556" s="249" t="str">
        <f>L555</f>
        <v>m³</v>
      </c>
      <c r="T556" s="244"/>
      <c r="U556" s="245"/>
      <c r="V556" s="174">
        <f t="shared" si="59"/>
        <v>0</v>
      </c>
    </row>
    <row r="557" spans="1:27" s="40" customFormat="1" hidden="1">
      <c r="A557" s="1106" t="s">
        <v>49</v>
      </c>
      <c r="B557" s="246"/>
      <c r="C557" s="240"/>
      <c r="D557" s="2524"/>
      <c r="E557" s="2525"/>
      <c r="F557" s="2525"/>
      <c r="G557" s="2525"/>
      <c r="H557" s="2525"/>
      <c r="I557" s="2526"/>
      <c r="J557" s="2519"/>
      <c r="K557" s="2520"/>
      <c r="L557" s="2570"/>
      <c r="M557" s="2574" t="s">
        <v>261</v>
      </c>
      <c r="N557" s="2575"/>
      <c r="O557" s="2575"/>
      <c r="P557" s="2575"/>
      <c r="Q557" s="2576"/>
      <c r="R557" s="251">
        <f>R555-R556</f>
        <v>0</v>
      </c>
      <c r="S557" s="252" t="str">
        <f>L555</f>
        <v>m³</v>
      </c>
      <c r="T557" s="244"/>
      <c r="U557" s="245"/>
      <c r="V557" s="174">
        <f>R557</f>
        <v>0</v>
      </c>
    </row>
    <row r="558" spans="1:27" s="40" customFormat="1" hidden="1">
      <c r="A558" s="1106"/>
      <c r="B558" s="295"/>
      <c r="C558" s="254"/>
      <c r="D558" s="255"/>
      <c r="E558" s="256"/>
      <c r="F558" s="255"/>
      <c r="G558" s="255"/>
      <c r="H558" s="255"/>
      <c r="I558" s="255"/>
      <c r="J558" s="257"/>
      <c r="K558" s="258"/>
      <c r="L558" s="259"/>
      <c r="M558" s="260"/>
      <c r="N558" s="260"/>
      <c r="O558" s="260"/>
      <c r="P558" s="260"/>
      <c r="Q558" s="260"/>
      <c r="R558" s="261"/>
      <c r="S558" s="262"/>
      <c r="T558" s="263"/>
      <c r="U558" s="264"/>
      <c r="V558" s="265">
        <f>SUM(V549:V557)</f>
        <v>0</v>
      </c>
    </row>
    <row r="559" spans="1:27" s="176" customFormat="1" hidden="1">
      <c r="A559" s="1106"/>
      <c r="B559" s="2463">
        <f>VLOOKUP(A567,'11 - FINANCEIRA'!_xlnm.Print_Area,2,FALSE)</f>
        <v>96995</v>
      </c>
      <c r="C559" s="2503" t="str">
        <f>VLOOKUP(A567,'11 - FINANCEIRA'!_xlnm.Print_Area,3,FALSE)</f>
        <v>Reaterro Manual Apiolado com Soquete AF_10/2017</v>
      </c>
      <c r="D559" s="2472" t="s">
        <v>242</v>
      </c>
      <c r="E559" s="2473"/>
      <c r="F559" s="2473"/>
      <c r="G559" s="2473"/>
      <c r="H559" s="2473"/>
      <c r="I559" s="2474"/>
      <c r="J559" s="2467" t="s">
        <v>243</v>
      </c>
      <c r="K559" s="2467" t="s">
        <v>244</v>
      </c>
      <c r="L559" s="2467" t="s">
        <v>245</v>
      </c>
      <c r="M559" s="2467" t="s">
        <v>246</v>
      </c>
      <c r="N559" s="2467" t="s">
        <v>247</v>
      </c>
      <c r="O559" s="2467" t="s">
        <v>248</v>
      </c>
      <c r="P559" s="173" t="s">
        <v>249</v>
      </c>
      <c r="Q559" s="2467" t="s">
        <v>250</v>
      </c>
      <c r="R559" s="2579" t="s">
        <v>139</v>
      </c>
      <c r="S559" s="2467" t="s">
        <v>251</v>
      </c>
      <c r="T559" s="2467" t="s">
        <v>252</v>
      </c>
      <c r="U559" s="2584" t="s">
        <v>253</v>
      </c>
      <c r="V559" s="174">
        <f>V560</f>
        <v>0</v>
      </c>
      <c r="W559" s="175"/>
      <c r="X559" s="175"/>
      <c r="Y559" s="175"/>
      <c r="Z559" s="175"/>
      <c r="AA559" s="175"/>
    </row>
    <row r="560" spans="1:27" s="176" customFormat="1" hidden="1">
      <c r="A560" s="1106"/>
      <c r="B560" s="2464" t="e">
        <f>LEFT(#REF!,5)</f>
        <v>#REF!</v>
      </c>
      <c r="C560" s="2504" t="e">
        <f>VLOOKUP(LEFT(#REF!,5),'11 - FINANCEIRA'!_xlnm.Print_Area,2,FALSE)</f>
        <v>#REF!</v>
      </c>
      <c r="D560" s="2475" t="s">
        <v>254</v>
      </c>
      <c r="E560" s="2476"/>
      <c r="F560" s="2477"/>
      <c r="G560" s="2469" t="s">
        <v>255</v>
      </c>
      <c r="H560" s="2470"/>
      <c r="I560" s="2471"/>
      <c r="J560" s="2468"/>
      <c r="K560" s="2468"/>
      <c r="L560" s="2468"/>
      <c r="M560" s="2468"/>
      <c r="N560" s="2468"/>
      <c r="O560" s="2468"/>
      <c r="P560" s="177" t="s">
        <v>256</v>
      </c>
      <c r="Q560" s="2468"/>
      <c r="R560" s="2580"/>
      <c r="S560" s="2468"/>
      <c r="T560" s="2468"/>
      <c r="U560" s="2585"/>
      <c r="V560" s="174">
        <f t="shared" ref="V560:V566" si="60">V561</f>
        <v>0</v>
      </c>
      <c r="W560" s="175"/>
      <c r="X560" s="175"/>
      <c r="Y560" s="175"/>
      <c r="Z560" s="175"/>
      <c r="AA560" s="175"/>
    </row>
    <row r="561" spans="1:27" s="176" customFormat="1" hidden="1">
      <c r="A561" s="1110"/>
      <c r="B561" s="336"/>
      <c r="C561" s="266" t="s">
        <v>909</v>
      </c>
      <c r="D561" s="485">
        <v>26</v>
      </c>
      <c r="E561" s="470"/>
      <c r="F561" s="486"/>
      <c r="G561" s="487"/>
      <c r="H561" s="473"/>
      <c r="I561" s="488"/>
      <c r="J561" s="275"/>
      <c r="K561" s="275">
        <v>6</v>
      </c>
      <c r="L561" s="275">
        <v>0.6</v>
      </c>
      <c r="M561" s="275">
        <v>1</v>
      </c>
      <c r="N561" s="275"/>
      <c r="O561" s="275"/>
      <c r="P561" s="338"/>
      <c r="Q561" s="275"/>
      <c r="R561" s="191">
        <f>K561*L561*M561</f>
        <v>3.5999999999999996</v>
      </c>
      <c r="S561" s="275" t="s">
        <v>476</v>
      </c>
      <c r="T561" s="276">
        <v>22</v>
      </c>
      <c r="U561" s="876"/>
      <c r="V561" s="306">
        <f t="shared" si="60"/>
        <v>0</v>
      </c>
      <c r="W561" s="175"/>
      <c r="X561" s="175"/>
      <c r="Y561" s="175"/>
      <c r="Z561" s="175"/>
      <c r="AA561" s="175"/>
    </row>
    <row r="562" spans="1:27" s="176" customFormat="1" hidden="1">
      <c r="A562" s="1110"/>
      <c r="B562" s="296"/>
      <c r="C562" s="339" t="s">
        <v>909</v>
      </c>
      <c r="D562" s="560">
        <v>29</v>
      </c>
      <c r="E562" s="464"/>
      <c r="F562" s="463"/>
      <c r="G562" s="458"/>
      <c r="H562" s="459"/>
      <c r="I562" s="460"/>
      <c r="J562" s="340"/>
      <c r="K562" s="560">
        <v>6</v>
      </c>
      <c r="L562" s="340">
        <v>0.6</v>
      </c>
      <c r="M562" s="463">
        <v>1</v>
      </c>
      <c r="N562" s="464"/>
      <c r="O562" s="560"/>
      <c r="P562" s="461"/>
      <c r="Q562" s="463"/>
      <c r="R562" s="462">
        <f>K562*L562*M562</f>
        <v>3.5999999999999996</v>
      </c>
      <c r="S562" s="340" t="s">
        <v>476</v>
      </c>
      <c r="T562" s="347">
        <v>22</v>
      </c>
      <c r="U562" s="341"/>
      <c r="V562" s="306">
        <f t="shared" si="60"/>
        <v>0</v>
      </c>
      <c r="W562" s="175"/>
      <c r="X562" s="175"/>
      <c r="Y562" s="175"/>
      <c r="Z562" s="175"/>
      <c r="AA562" s="175"/>
    </row>
    <row r="563" spans="1:27" s="222" customFormat="1" hidden="1">
      <c r="A563" s="1105"/>
      <c r="B563" s="206"/>
      <c r="C563" s="287"/>
      <c r="D563" s="288"/>
      <c r="E563" s="289"/>
      <c r="F563" s="290"/>
      <c r="G563" s="288"/>
      <c r="H563" s="289"/>
      <c r="I563" s="290"/>
      <c r="J563" s="201"/>
      <c r="K563" s="291"/>
      <c r="L563" s="291"/>
      <c r="M563" s="291"/>
      <c r="N563" s="291"/>
      <c r="O563" s="292"/>
      <c r="P563" s="291"/>
      <c r="Q563" s="292"/>
      <c r="R563" s="218"/>
      <c r="S563" s="293"/>
      <c r="T563" s="204"/>
      <c r="U563" s="221"/>
      <c r="V563" s="174">
        <f t="shared" si="60"/>
        <v>0</v>
      </c>
    </row>
    <row r="564" spans="1:27" s="222" customFormat="1" hidden="1">
      <c r="A564" s="1106"/>
      <c r="B564" s="223"/>
      <c r="C564" s="224"/>
      <c r="D564" s="225"/>
      <c r="E564" s="226"/>
      <c r="F564" s="227"/>
      <c r="G564" s="225"/>
      <c r="H564" s="226"/>
      <c r="I564" s="227"/>
      <c r="J564" s="228"/>
      <c r="K564" s="229"/>
      <c r="L564" s="230"/>
      <c r="M564" s="231"/>
      <c r="N564" s="232"/>
      <c r="O564" s="233"/>
      <c r="P564" s="230"/>
      <c r="Q564" s="234"/>
      <c r="R564" s="235"/>
      <c r="S564" s="236"/>
      <c r="T564" s="294"/>
      <c r="U564" s="238"/>
      <c r="V564" s="174">
        <f t="shared" si="60"/>
        <v>0</v>
      </c>
    </row>
    <row r="565" spans="1:27" s="40" customFormat="1" hidden="1">
      <c r="A565" s="1106"/>
      <c r="B565" s="246"/>
      <c r="C565" s="240"/>
      <c r="D565" s="2527" t="s">
        <v>257</v>
      </c>
      <c r="E565" s="2528"/>
      <c r="F565" s="2528"/>
      <c r="G565" s="2528"/>
      <c r="H565" s="2528"/>
      <c r="I565" s="2529"/>
      <c r="J565" s="2668">
        <f>VLOOKUP(A567,'11 - FINANCEIRA'!_xlnm.Print_Area,30,FALSE)</f>
        <v>880</v>
      </c>
      <c r="K565" s="2669"/>
      <c r="L565" s="309" t="str">
        <f>VLOOKUP(A567,'11 - FINANCEIRA'!_xlnm.Print_Area,4,FALSE)</f>
        <v>m³</v>
      </c>
      <c r="M565" s="2556" t="s">
        <v>258</v>
      </c>
      <c r="N565" s="2557"/>
      <c r="O565" s="2557"/>
      <c r="P565" s="2557"/>
      <c r="Q565" s="2558"/>
      <c r="R565" s="248">
        <f>SUM(R561:R564)</f>
        <v>7.1999999999999993</v>
      </c>
      <c r="S565" s="310" t="str">
        <f>L565</f>
        <v>m³</v>
      </c>
      <c r="T565" s="244"/>
      <c r="U565" s="245"/>
      <c r="V565" s="174">
        <f t="shared" si="60"/>
        <v>0</v>
      </c>
    </row>
    <row r="566" spans="1:27" s="40" customFormat="1" hidden="1">
      <c r="A566" s="1106"/>
      <c r="B566" s="246"/>
      <c r="C566" s="247"/>
      <c r="D566" s="2521" t="s">
        <v>259</v>
      </c>
      <c r="E566" s="2522"/>
      <c r="F566" s="2522"/>
      <c r="G566" s="2522"/>
      <c r="H566" s="2522"/>
      <c r="I566" s="2523"/>
      <c r="J566" s="2515">
        <f>R565/J565</f>
        <v>8.1818181818181807E-3</v>
      </c>
      <c r="K566" s="2516"/>
      <c r="L566" s="2554"/>
      <c r="M566" s="2556" t="s">
        <v>260</v>
      </c>
      <c r="N566" s="2557"/>
      <c r="O566" s="2557"/>
      <c r="P566" s="2557"/>
      <c r="Q566" s="2558"/>
      <c r="R566" s="248">
        <f>VLOOKUP(A567,'11 - FINANCEIRA'!_xlnm.Print_Area,8,FALSE)</f>
        <v>7.1999999999999993</v>
      </c>
      <c r="S566" s="249" t="str">
        <f>L565</f>
        <v>m³</v>
      </c>
      <c r="T566" s="244"/>
      <c r="U566" s="245"/>
      <c r="V566" s="174">
        <f t="shared" si="60"/>
        <v>0</v>
      </c>
    </row>
    <row r="567" spans="1:27" s="40" customFormat="1" hidden="1">
      <c r="A567" s="1106" t="s">
        <v>50</v>
      </c>
      <c r="B567" s="246"/>
      <c r="C567" s="240"/>
      <c r="D567" s="2524"/>
      <c r="E567" s="2525"/>
      <c r="F567" s="2525"/>
      <c r="G567" s="2525"/>
      <c r="H567" s="2525"/>
      <c r="I567" s="2526"/>
      <c r="J567" s="2519"/>
      <c r="K567" s="2520"/>
      <c r="L567" s="2570"/>
      <c r="M567" s="2574" t="s">
        <v>261</v>
      </c>
      <c r="N567" s="2575"/>
      <c r="O567" s="2575"/>
      <c r="P567" s="2575"/>
      <c r="Q567" s="2576"/>
      <c r="R567" s="251">
        <f>R565-R566</f>
        <v>0</v>
      </c>
      <c r="S567" s="252" t="str">
        <f>L565</f>
        <v>m³</v>
      </c>
      <c r="T567" s="244"/>
      <c r="U567" s="245"/>
      <c r="V567" s="174">
        <f>R567</f>
        <v>0</v>
      </c>
    </row>
    <row r="568" spans="1:27" s="40" customFormat="1" hidden="1">
      <c r="A568" s="1106"/>
      <c r="B568" s="295"/>
      <c r="C568" s="254"/>
      <c r="D568" s="255"/>
      <c r="E568" s="256"/>
      <c r="F568" s="255"/>
      <c r="G568" s="255"/>
      <c r="H568" s="255"/>
      <c r="I568" s="255"/>
      <c r="J568" s="257"/>
      <c r="K568" s="258"/>
      <c r="L568" s="259"/>
      <c r="M568" s="260"/>
      <c r="N568" s="260"/>
      <c r="O568" s="260"/>
      <c r="P568" s="260"/>
      <c r="Q568" s="260"/>
      <c r="R568" s="261"/>
      <c r="S568" s="262"/>
      <c r="T568" s="263"/>
      <c r="U568" s="264"/>
      <c r="V568" s="265">
        <f>SUM(V559:V567)</f>
        <v>0</v>
      </c>
    </row>
    <row r="569" spans="1:27" s="176" customFormat="1" hidden="1">
      <c r="A569" s="1104"/>
      <c r="B569" s="2463">
        <f>VLOOKUP(A577,'11 - FINANCEIRA'!_xlnm.Print_Area,2,FALSE)</f>
        <v>93382</v>
      </c>
      <c r="C569" s="2503" t="str">
        <f>VLOOKUP(A577,'11 - FINANCEIRA'!_xlnm.Print_Area,3,FALSE)</f>
        <v>Reaterro Manual De Valas Com Compactação Mecanizada. Af_04/2016</v>
      </c>
      <c r="D569" s="2472" t="s">
        <v>242</v>
      </c>
      <c r="E569" s="2473"/>
      <c r="F569" s="2473"/>
      <c r="G569" s="2473"/>
      <c r="H569" s="2473"/>
      <c r="I569" s="2474"/>
      <c r="J569" s="2467" t="s">
        <v>243</v>
      </c>
      <c r="K569" s="2467" t="s">
        <v>244</v>
      </c>
      <c r="L569" s="2467" t="s">
        <v>245</v>
      </c>
      <c r="M569" s="2467" t="s">
        <v>246</v>
      </c>
      <c r="N569" s="2467" t="s">
        <v>247</v>
      </c>
      <c r="O569" s="2467" t="s">
        <v>248</v>
      </c>
      <c r="P569" s="173" t="s">
        <v>249</v>
      </c>
      <c r="Q569" s="2467" t="s">
        <v>250</v>
      </c>
      <c r="R569" s="2579" t="s">
        <v>139</v>
      </c>
      <c r="S569" s="2467" t="s">
        <v>251</v>
      </c>
      <c r="T569" s="2467" t="s">
        <v>252</v>
      </c>
      <c r="U569" s="2584" t="s">
        <v>253</v>
      </c>
      <c r="V569" s="174">
        <f t="shared" ref="V569:V576" si="61">V570</f>
        <v>0</v>
      </c>
      <c r="W569" s="175"/>
      <c r="X569" s="175"/>
      <c r="Y569" s="175"/>
      <c r="Z569" s="175"/>
      <c r="AA569" s="175"/>
    </row>
    <row r="570" spans="1:27" s="176" customFormat="1" hidden="1">
      <c r="A570" s="1104"/>
      <c r="B570" s="2464" t="e">
        <f>LEFT(#REF!,5)</f>
        <v>#REF!</v>
      </c>
      <c r="C570" s="2504" t="e">
        <f>VLOOKUP(LEFT(#REF!,5),'11 - FINANCEIRA'!_xlnm.Print_Area,2,FALSE)</f>
        <v>#REF!</v>
      </c>
      <c r="D570" s="2475" t="s">
        <v>254</v>
      </c>
      <c r="E570" s="2476"/>
      <c r="F570" s="2477"/>
      <c r="G570" s="2469" t="s">
        <v>255</v>
      </c>
      <c r="H570" s="2470"/>
      <c r="I570" s="2471"/>
      <c r="J570" s="2468"/>
      <c r="K570" s="2468"/>
      <c r="L570" s="2468"/>
      <c r="M570" s="2468"/>
      <c r="N570" s="2468"/>
      <c r="O570" s="2468"/>
      <c r="P570" s="177" t="s">
        <v>256</v>
      </c>
      <c r="Q570" s="2468"/>
      <c r="R570" s="2580"/>
      <c r="S570" s="2468"/>
      <c r="T570" s="2468"/>
      <c r="U570" s="2585"/>
      <c r="V570" s="174">
        <f t="shared" si="61"/>
        <v>0</v>
      </c>
      <c r="W570" s="175"/>
      <c r="X570" s="175"/>
      <c r="Y570" s="175"/>
      <c r="Z570" s="175"/>
      <c r="AA570" s="175"/>
    </row>
    <row r="571" spans="1:27" s="176" customFormat="1" hidden="1">
      <c r="A571" s="1104"/>
      <c r="B571" s="178"/>
      <c r="C571" s="516"/>
      <c r="D571" s="327"/>
      <c r="E571" s="328"/>
      <c r="F571" s="329"/>
      <c r="G571" s="330"/>
      <c r="H571" s="331"/>
      <c r="I571" s="332"/>
      <c r="J571" s="333"/>
      <c r="K571" s="333"/>
      <c r="L571" s="333"/>
      <c r="M571" s="333"/>
      <c r="N571" s="333"/>
      <c r="O571" s="333"/>
      <c r="P571" s="334"/>
      <c r="Q571" s="333"/>
      <c r="R571" s="517"/>
      <c r="S571" s="333"/>
      <c r="T571" s="518"/>
      <c r="U571" s="519"/>
      <c r="V571" s="174">
        <f t="shared" si="61"/>
        <v>0</v>
      </c>
      <c r="W571" s="175"/>
      <c r="X571" s="175"/>
      <c r="Y571" s="175"/>
      <c r="Z571" s="175"/>
      <c r="AA571" s="175"/>
    </row>
    <row r="572" spans="1:27" s="176" customFormat="1" hidden="1">
      <c r="A572" s="1104"/>
      <c r="B572" s="195"/>
      <c r="C572" s="277"/>
      <c r="D572" s="278"/>
      <c r="E572" s="279"/>
      <c r="F572" s="280"/>
      <c r="G572" s="281"/>
      <c r="H572" s="282"/>
      <c r="I572" s="283"/>
      <c r="J572" s="284"/>
      <c r="K572" s="278"/>
      <c r="L572" s="284"/>
      <c r="M572" s="280"/>
      <c r="N572" s="279"/>
      <c r="O572" s="278"/>
      <c r="P572" s="285"/>
      <c r="Q572" s="280"/>
      <c r="R572" s="203"/>
      <c r="S572" s="284"/>
      <c r="T572" s="286"/>
      <c r="U572" s="205"/>
      <c r="V572" s="174">
        <f t="shared" si="61"/>
        <v>0</v>
      </c>
      <c r="W572" s="175"/>
      <c r="X572" s="175"/>
      <c r="Y572" s="175"/>
      <c r="Z572" s="175"/>
      <c r="AA572" s="175"/>
    </row>
    <row r="573" spans="1:27" s="222" customFormat="1" hidden="1">
      <c r="A573" s="1105"/>
      <c r="B573" s="206"/>
      <c r="C573" s="287"/>
      <c r="D573" s="288"/>
      <c r="E573" s="289"/>
      <c r="F573" s="290"/>
      <c r="G573" s="288"/>
      <c r="H573" s="289"/>
      <c r="I573" s="290"/>
      <c r="J573" s="201"/>
      <c r="K573" s="291"/>
      <c r="L573" s="291"/>
      <c r="M573" s="291"/>
      <c r="N573" s="291"/>
      <c r="O573" s="292"/>
      <c r="P573" s="291"/>
      <c r="Q573" s="292"/>
      <c r="R573" s="218"/>
      <c r="S573" s="293"/>
      <c r="T573" s="204"/>
      <c r="U573" s="221"/>
      <c r="V573" s="174">
        <f t="shared" si="61"/>
        <v>0</v>
      </c>
    </row>
    <row r="574" spans="1:27" s="222" customFormat="1" hidden="1">
      <c r="A574" s="1105"/>
      <c r="B574" s="223"/>
      <c r="C574" s="224"/>
      <c r="D574" s="225"/>
      <c r="E574" s="226"/>
      <c r="F574" s="227"/>
      <c r="G574" s="225"/>
      <c r="H574" s="226"/>
      <c r="I574" s="227"/>
      <c r="J574" s="228"/>
      <c r="K574" s="229"/>
      <c r="L574" s="230"/>
      <c r="M574" s="231"/>
      <c r="N574" s="232"/>
      <c r="O574" s="233"/>
      <c r="P574" s="230"/>
      <c r="Q574" s="234"/>
      <c r="R574" s="235"/>
      <c r="S574" s="236"/>
      <c r="T574" s="294"/>
      <c r="U574" s="238"/>
      <c r="V574" s="174">
        <f t="shared" si="61"/>
        <v>0</v>
      </c>
    </row>
    <row r="575" spans="1:27" s="40" customFormat="1" hidden="1">
      <c r="A575" s="1106"/>
      <c r="B575" s="246"/>
      <c r="C575" s="240"/>
      <c r="D575" s="2527" t="s">
        <v>257</v>
      </c>
      <c r="E575" s="2528"/>
      <c r="F575" s="2528"/>
      <c r="G575" s="2528"/>
      <c r="H575" s="2528"/>
      <c r="I575" s="2529"/>
      <c r="J575" s="2668">
        <f>VLOOKUP(A577,'11 - FINANCEIRA'!_xlnm.Print_Area,24,FALSE)</f>
        <v>0</v>
      </c>
      <c r="K575" s="2669"/>
      <c r="L575" s="309" t="str">
        <f>VLOOKUP(A577,'11 - FINANCEIRA'!_xlnm.Print_Area,4,FALSE)</f>
        <v>m³</v>
      </c>
      <c r="M575" s="2556" t="s">
        <v>258</v>
      </c>
      <c r="N575" s="2557"/>
      <c r="O575" s="2557"/>
      <c r="P575" s="2557"/>
      <c r="Q575" s="2558"/>
      <c r="R575" s="248">
        <f>SUM(R571:R574)</f>
        <v>0</v>
      </c>
      <c r="S575" s="310" t="str">
        <f>L575</f>
        <v>m³</v>
      </c>
      <c r="T575" s="244"/>
      <c r="U575" s="245"/>
      <c r="V575" s="174">
        <f t="shared" si="61"/>
        <v>0</v>
      </c>
    </row>
    <row r="576" spans="1:27" s="40" customFormat="1" hidden="1">
      <c r="A576" s="1106"/>
      <c r="B576" s="246"/>
      <c r="C576" s="247"/>
      <c r="D576" s="2521" t="s">
        <v>259</v>
      </c>
      <c r="E576" s="2522"/>
      <c r="F576" s="2522"/>
      <c r="G576" s="2522"/>
      <c r="H576" s="2522"/>
      <c r="I576" s="2523"/>
      <c r="J576" s="2515" t="e">
        <f>R575/J575</f>
        <v>#DIV/0!</v>
      </c>
      <c r="K576" s="2516"/>
      <c r="L576" s="2554"/>
      <c r="M576" s="2556" t="s">
        <v>260</v>
      </c>
      <c r="N576" s="2557"/>
      <c r="O576" s="2557"/>
      <c r="P576" s="2557"/>
      <c r="Q576" s="2558"/>
      <c r="R576" s="248">
        <f>VLOOKUP(A577,'11 - FINANCEIRA'!_xlnm.Print_Area,8,FALSE)</f>
        <v>0</v>
      </c>
      <c r="S576" s="249" t="str">
        <f>L575</f>
        <v>m³</v>
      </c>
      <c r="T576" s="244"/>
      <c r="U576" s="245"/>
      <c r="V576" s="174">
        <f t="shared" si="61"/>
        <v>0</v>
      </c>
    </row>
    <row r="577" spans="1:27" s="40" customFormat="1" hidden="1">
      <c r="A577" s="1106" t="s">
        <v>51</v>
      </c>
      <c r="B577" s="246"/>
      <c r="C577" s="240"/>
      <c r="D577" s="2524"/>
      <c r="E577" s="2525"/>
      <c r="F577" s="2525"/>
      <c r="G577" s="2525"/>
      <c r="H577" s="2525"/>
      <c r="I577" s="2526"/>
      <c r="J577" s="2519"/>
      <c r="K577" s="2520"/>
      <c r="L577" s="2570"/>
      <c r="M577" s="2574" t="s">
        <v>261</v>
      </c>
      <c r="N577" s="2575"/>
      <c r="O577" s="2575"/>
      <c r="P577" s="2575"/>
      <c r="Q577" s="2576"/>
      <c r="R577" s="251">
        <f>R575-R576</f>
        <v>0</v>
      </c>
      <c r="S577" s="252" t="str">
        <f>L575</f>
        <v>m³</v>
      </c>
      <c r="T577" s="244"/>
      <c r="U577" s="245"/>
      <c r="V577" s="174">
        <f>R577</f>
        <v>0</v>
      </c>
    </row>
    <row r="578" spans="1:27" s="40" customFormat="1" hidden="1">
      <c r="A578" s="1106"/>
      <c r="B578" s="295"/>
      <c r="C578" s="254"/>
      <c r="D578" s="255"/>
      <c r="E578" s="256"/>
      <c r="F578" s="255"/>
      <c r="G578" s="255"/>
      <c r="H578" s="255"/>
      <c r="I578" s="255"/>
      <c r="J578" s="257"/>
      <c r="K578" s="258"/>
      <c r="L578" s="259"/>
      <c r="M578" s="260"/>
      <c r="N578" s="260"/>
      <c r="O578" s="260"/>
      <c r="P578" s="260"/>
      <c r="Q578" s="260"/>
      <c r="R578" s="261"/>
      <c r="S578" s="262"/>
      <c r="T578" s="263"/>
      <c r="U578" s="264"/>
      <c r="V578" s="265">
        <f>SUM(V569:V577)</f>
        <v>0</v>
      </c>
    </row>
    <row r="579" spans="1:27" s="176" customFormat="1" hidden="1">
      <c r="A579" s="1106"/>
      <c r="B579" s="2463">
        <f>VLOOKUP(A587,'11 - FINANCEIRA'!_xlnm.Print_Area,2,FALSE)</f>
        <v>30304</v>
      </c>
      <c r="C579" s="2465" t="str">
        <f>VLOOKUP(A587,'11 - FINANCEIRA'!_xlnm.Print_Area,3,FALSE)</f>
        <v>Índice de preço para remoção de entulho decorrente da execução de obras - BDI = 14,02</v>
      </c>
      <c r="D579" s="2472" t="s">
        <v>242</v>
      </c>
      <c r="E579" s="2473"/>
      <c r="F579" s="2473"/>
      <c r="G579" s="2473"/>
      <c r="H579" s="2473"/>
      <c r="I579" s="2474"/>
      <c r="J579" s="2467" t="s">
        <v>243</v>
      </c>
      <c r="K579" s="2467" t="s">
        <v>244</v>
      </c>
      <c r="L579" s="2467" t="s">
        <v>245</v>
      </c>
      <c r="M579" s="2467" t="s">
        <v>246</v>
      </c>
      <c r="N579" s="2467" t="s">
        <v>247</v>
      </c>
      <c r="O579" s="2467" t="s">
        <v>248</v>
      </c>
      <c r="P579" s="173" t="s">
        <v>249</v>
      </c>
      <c r="Q579" s="2467" t="s">
        <v>250</v>
      </c>
      <c r="R579" s="2579" t="s">
        <v>139</v>
      </c>
      <c r="S579" s="2467" t="s">
        <v>251</v>
      </c>
      <c r="T579" s="2467" t="s">
        <v>252</v>
      </c>
      <c r="U579" s="2584" t="s">
        <v>253</v>
      </c>
      <c r="V579" s="174">
        <f t="shared" ref="V579:V586" si="62">V580</f>
        <v>0</v>
      </c>
      <c r="W579" s="175"/>
      <c r="X579" s="175"/>
      <c r="Y579" s="175"/>
      <c r="Z579" s="175"/>
      <c r="AA579" s="175"/>
    </row>
    <row r="580" spans="1:27" s="176" customFormat="1" hidden="1">
      <c r="A580" s="1106"/>
      <c r="B580" s="2464" t="e">
        <f>LEFT(#REF!,5)</f>
        <v>#REF!</v>
      </c>
      <c r="C580" s="2466" t="e">
        <f>VLOOKUP(LEFT(#REF!,5),'11 - FINANCEIRA'!_xlnm.Print_Area,2,FALSE)</f>
        <v>#REF!</v>
      </c>
      <c r="D580" s="2475" t="s">
        <v>254</v>
      </c>
      <c r="E580" s="2476"/>
      <c r="F580" s="2477"/>
      <c r="G580" s="2469" t="s">
        <v>255</v>
      </c>
      <c r="H580" s="2470"/>
      <c r="I580" s="2471"/>
      <c r="J580" s="2468"/>
      <c r="K580" s="2468"/>
      <c r="L580" s="2468"/>
      <c r="M580" s="2468"/>
      <c r="N580" s="2468"/>
      <c r="O580" s="2468"/>
      <c r="P580" s="177" t="s">
        <v>256</v>
      </c>
      <c r="Q580" s="2468"/>
      <c r="R580" s="2580"/>
      <c r="S580" s="2468"/>
      <c r="T580" s="2468"/>
      <c r="U580" s="2585"/>
      <c r="V580" s="174">
        <f t="shared" si="62"/>
        <v>0</v>
      </c>
      <c r="W580" s="175"/>
      <c r="X580" s="175"/>
      <c r="Y580" s="175"/>
      <c r="Z580" s="175"/>
      <c r="AA580" s="175"/>
    </row>
    <row r="581" spans="1:27" s="40" customFormat="1" ht="30" hidden="1">
      <c r="A581" s="1110"/>
      <c r="B581" s="512"/>
      <c r="C581" s="337" t="s">
        <v>186</v>
      </c>
      <c r="D581" s="469">
        <v>6</v>
      </c>
      <c r="E581" s="470" t="s">
        <v>299</v>
      </c>
      <c r="F581" s="471">
        <v>0</v>
      </c>
      <c r="G581" s="472">
        <v>8</v>
      </c>
      <c r="H581" s="473" t="s">
        <v>299</v>
      </c>
      <c r="I581" s="474">
        <v>2</v>
      </c>
      <c r="J581" s="275"/>
      <c r="K581" s="275"/>
      <c r="L581" s="275"/>
      <c r="M581" s="275"/>
      <c r="N581" s="275"/>
      <c r="O581" s="275"/>
      <c r="P581" s="338"/>
      <c r="Q581" s="275"/>
      <c r="R581" s="191">
        <f>42*3.14*(0.15/2)*(0.15/2)</f>
        <v>0.74182499999999996</v>
      </c>
      <c r="S581" s="425" t="s">
        <v>164</v>
      </c>
      <c r="T581" s="427">
        <v>8</v>
      </c>
      <c r="U581" s="520"/>
      <c r="V581" s="521">
        <f t="shared" si="62"/>
        <v>0</v>
      </c>
    </row>
    <row r="582" spans="1:27" s="176" customFormat="1" ht="30" hidden="1">
      <c r="A582" s="1110"/>
      <c r="B582" s="296"/>
      <c r="C582" s="339" t="s">
        <v>335</v>
      </c>
      <c r="D582" s="430">
        <v>9</v>
      </c>
      <c r="E582" s="298" t="s">
        <v>299</v>
      </c>
      <c r="F582" s="431">
        <v>17</v>
      </c>
      <c r="G582" s="432">
        <v>11</v>
      </c>
      <c r="H582" s="301"/>
      <c r="I582" s="433">
        <v>13</v>
      </c>
      <c r="J582" s="192"/>
      <c r="K582" s="297">
        <v>36</v>
      </c>
      <c r="L582" s="192"/>
      <c r="M582" s="299"/>
      <c r="N582" s="298"/>
      <c r="O582" s="297"/>
      <c r="P582" s="303"/>
      <c r="Q582" s="299"/>
      <c r="R582" s="304">
        <f>36*3.14*(0.15/2)*(0.15/2)</f>
        <v>0.63584999999999992</v>
      </c>
      <c r="S582" s="192" t="s">
        <v>164</v>
      </c>
      <c r="T582" s="193">
        <v>8</v>
      </c>
      <c r="U582" s="341"/>
      <c r="V582" s="306">
        <f t="shared" si="62"/>
        <v>0</v>
      </c>
      <c r="W582" s="175"/>
      <c r="X582" s="175"/>
      <c r="Y582" s="175"/>
      <c r="Z582" s="175"/>
      <c r="AA582" s="175"/>
    </row>
    <row r="583" spans="1:27" s="175" customFormat="1" ht="30" hidden="1">
      <c r="A583" s="1110"/>
      <c r="B583" s="342"/>
      <c r="C583" s="343" t="s">
        <v>336</v>
      </c>
      <c r="D583" s="496">
        <v>10</v>
      </c>
      <c r="E583" s="497" t="s">
        <v>299</v>
      </c>
      <c r="F583" s="498">
        <v>0</v>
      </c>
      <c r="G583" s="496">
        <v>10</v>
      </c>
      <c r="H583" s="497" t="s">
        <v>299</v>
      </c>
      <c r="I583" s="498">
        <v>0</v>
      </c>
      <c r="J583" s="340"/>
      <c r="K583" s="340">
        <v>4.5</v>
      </c>
      <c r="L583" s="344"/>
      <c r="M583" s="344"/>
      <c r="N583" s="344"/>
      <c r="O583" s="345"/>
      <c r="P583" s="344"/>
      <c r="Q583" s="345"/>
      <c r="R583" s="346">
        <f>4.5*3.14*(0.15/2)*(0.15/2)</f>
        <v>7.9481249999999989E-2</v>
      </c>
      <c r="S583" s="406" t="s">
        <v>164</v>
      </c>
      <c r="T583" s="347">
        <v>8</v>
      </c>
      <c r="U583" s="393"/>
      <c r="V583" s="306">
        <f t="shared" si="62"/>
        <v>0</v>
      </c>
    </row>
    <row r="584" spans="1:27" s="222" customFormat="1" hidden="1">
      <c r="A584" s="1106"/>
      <c r="B584" s="223"/>
      <c r="C584" s="224"/>
      <c r="D584" s="225"/>
      <c r="E584" s="226"/>
      <c r="F584" s="227"/>
      <c r="G584" s="225"/>
      <c r="H584" s="226"/>
      <c r="I584" s="227"/>
      <c r="J584" s="228"/>
      <c r="K584" s="229"/>
      <c r="L584" s="230"/>
      <c r="M584" s="231"/>
      <c r="N584" s="232"/>
      <c r="O584" s="233"/>
      <c r="P584" s="230"/>
      <c r="Q584" s="234"/>
      <c r="R584" s="235"/>
      <c r="S584" s="236"/>
      <c r="T584" s="294"/>
      <c r="U584" s="238"/>
      <c r="V584" s="174">
        <f t="shared" si="62"/>
        <v>0</v>
      </c>
    </row>
    <row r="585" spans="1:27" s="40" customFormat="1" hidden="1">
      <c r="A585" s="1106"/>
      <c r="B585" s="246"/>
      <c r="C585" s="240"/>
      <c r="D585" s="2527" t="s">
        <v>257</v>
      </c>
      <c r="E585" s="2528"/>
      <c r="F585" s="2528"/>
      <c r="G585" s="2528"/>
      <c r="H585" s="2528"/>
      <c r="I585" s="2529"/>
      <c r="J585" s="2668">
        <f>VLOOKUP(A587,'11 - FINANCEIRA'!_xlnm.Print_Area,30,FALSE)</f>
        <v>31.09</v>
      </c>
      <c r="K585" s="2669"/>
      <c r="L585" s="309" t="str">
        <f>VLOOKUP(A587,'11 - FINANCEIRA'!_xlnm.Print_Area,4,FALSE)</f>
        <v>m³</v>
      </c>
      <c r="M585" s="2556" t="s">
        <v>258</v>
      </c>
      <c r="N585" s="2557"/>
      <c r="O585" s="2557"/>
      <c r="P585" s="2557"/>
      <c r="Q585" s="2558"/>
      <c r="R585" s="248">
        <f>SUM(R581:R584)</f>
        <v>1.4571562499999999</v>
      </c>
      <c r="S585" s="310" t="str">
        <f>L585</f>
        <v>m³</v>
      </c>
      <c r="T585" s="244"/>
      <c r="U585" s="245"/>
      <c r="V585" s="174">
        <f t="shared" si="62"/>
        <v>0</v>
      </c>
    </row>
    <row r="586" spans="1:27" s="40" customFormat="1" hidden="1">
      <c r="A586" s="1106"/>
      <c r="B586" s="246"/>
      <c r="C586" s="247"/>
      <c r="D586" s="2521" t="s">
        <v>259</v>
      </c>
      <c r="E586" s="2522"/>
      <c r="F586" s="2522"/>
      <c r="G586" s="2522"/>
      <c r="H586" s="2522"/>
      <c r="I586" s="2523"/>
      <c r="J586" s="2515">
        <f>R585/J585</f>
        <v>4.686896912190415E-2</v>
      </c>
      <c r="K586" s="2516"/>
      <c r="L586" s="2554"/>
      <c r="M586" s="2556" t="s">
        <v>260</v>
      </c>
      <c r="N586" s="2557"/>
      <c r="O586" s="2557"/>
      <c r="P586" s="2557"/>
      <c r="Q586" s="2558"/>
      <c r="R586" s="248">
        <f>VLOOKUP(A587,'11 - FINANCEIRA'!_xlnm.Print_Area,8,FALSE)</f>
        <v>1.4571562499999999</v>
      </c>
      <c r="S586" s="249" t="str">
        <f>L585</f>
        <v>m³</v>
      </c>
      <c r="T586" s="244"/>
      <c r="U586" s="245"/>
      <c r="V586" s="174">
        <f t="shared" si="62"/>
        <v>0</v>
      </c>
    </row>
    <row r="587" spans="1:27" s="40" customFormat="1" hidden="1">
      <c r="A587" s="1106" t="s">
        <v>52</v>
      </c>
      <c r="B587" s="246"/>
      <c r="C587" s="240"/>
      <c r="D587" s="2524"/>
      <c r="E587" s="2525"/>
      <c r="F587" s="2525"/>
      <c r="G587" s="2525"/>
      <c r="H587" s="2525"/>
      <c r="I587" s="2526"/>
      <c r="J587" s="2519"/>
      <c r="K587" s="2520"/>
      <c r="L587" s="2570"/>
      <c r="M587" s="2574" t="s">
        <v>261</v>
      </c>
      <c r="N587" s="2575"/>
      <c r="O587" s="2575"/>
      <c r="P587" s="2575"/>
      <c r="Q587" s="2576"/>
      <c r="R587" s="251">
        <f>R585-R586</f>
        <v>0</v>
      </c>
      <c r="S587" s="252" t="str">
        <f>L585</f>
        <v>m³</v>
      </c>
      <c r="T587" s="244"/>
      <c r="U587" s="245"/>
      <c r="V587" s="174">
        <f>R587</f>
        <v>0</v>
      </c>
    </row>
    <row r="588" spans="1:27" s="40" customFormat="1" hidden="1">
      <c r="A588" s="1106"/>
      <c r="B588" s="311"/>
      <c r="C588" s="312"/>
      <c r="D588" s="313"/>
      <c r="E588" s="314"/>
      <c r="F588" s="313"/>
      <c r="G588" s="313"/>
      <c r="H588" s="313"/>
      <c r="I588" s="313"/>
      <c r="J588" s="315"/>
      <c r="K588" s="316"/>
      <c r="L588" s="317"/>
      <c r="M588" s="318"/>
      <c r="N588" s="318"/>
      <c r="O588" s="318"/>
      <c r="P588" s="318"/>
      <c r="Q588" s="318"/>
      <c r="R588" s="319"/>
      <c r="S588" s="320"/>
      <c r="T588" s="321"/>
      <c r="U588" s="322"/>
      <c r="V588" s="265">
        <f>SUM(V579:V587)</f>
        <v>0</v>
      </c>
    </row>
    <row r="589" spans="1:27" s="326" customFormat="1">
      <c r="A589" s="1770"/>
      <c r="B589" s="166" t="str">
        <f>VLOOKUP(A606,'11 - FINANCEIRA'!_xlnm.Print_Area,1,FALSE)</f>
        <v>2.5</v>
      </c>
      <c r="C589" s="167" t="str">
        <f>VLOOKUP(LEFT(A606,7),'11 - FINANCEIRA'!_xlnm.Print_Area,2,FALSE)</f>
        <v>Estrutura</v>
      </c>
      <c r="D589" s="167"/>
      <c r="E589" s="168"/>
      <c r="F589" s="167"/>
      <c r="G589" s="2696"/>
      <c r="H589" s="2696"/>
      <c r="I589" s="2696"/>
      <c r="J589" s="2696"/>
      <c r="K589" s="2696"/>
      <c r="L589" s="2696"/>
      <c r="M589" s="171"/>
      <c r="N589" s="172"/>
      <c r="O589" s="171"/>
      <c r="P589" s="171"/>
      <c r="Q589" s="171"/>
      <c r="R589" s="171"/>
      <c r="S589" s="171"/>
      <c r="T589" s="171"/>
      <c r="U589" s="493"/>
      <c r="V589" s="494" t="e">
        <f>SUM(V590:V816)</f>
        <v>#REF!</v>
      </c>
    </row>
    <row r="590" spans="1:27" s="176" customFormat="1" ht="28.5" hidden="1" customHeight="1">
      <c r="A590" s="1106"/>
      <c r="B590" s="2624">
        <f>VLOOKUP(A607,'11 - FINANCEIRA'!_xlnm.Print_Area,2,FALSE)</f>
        <v>6817851</v>
      </c>
      <c r="C590" s="2643" t="str">
        <f>VLOOKUP(A607,'11 - FINANCEIRA'!_xlnm.Print_Area,3,FALSE)</f>
        <v>Fornecimento e assentamento de galeria de concreto pré-moldado 3 X 2 metros fechada (tampa fixa)</v>
      </c>
      <c r="D590" s="2626" t="s">
        <v>242</v>
      </c>
      <c r="E590" s="2627"/>
      <c r="F590" s="2627"/>
      <c r="G590" s="2627"/>
      <c r="H590" s="2627"/>
      <c r="I590" s="2628"/>
      <c r="J590" s="2532" t="s">
        <v>243</v>
      </c>
      <c r="K590" s="2532" t="s">
        <v>244</v>
      </c>
      <c r="L590" s="2532" t="s">
        <v>245</v>
      </c>
      <c r="M590" s="2532" t="s">
        <v>246</v>
      </c>
      <c r="N590" s="2532" t="s">
        <v>247</v>
      </c>
      <c r="O590" s="2532" t="s">
        <v>248</v>
      </c>
      <c r="P590" s="2100" t="s">
        <v>249</v>
      </c>
      <c r="Q590" s="2623" t="s">
        <v>337</v>
      </c>
      <c r="R590" s="2623" t="s">
        <v>139</v>
      </c>
      <c r="S590" s="2532" t="s">
        <v>251</v>
      </c>
      <c r="T590" s="2532" t="s">
        <v>252</v>
      </c>
      <c r="U590" s="2622" t="s">
        <v>253</v>
      </c>
      <c r="V590" s="429">
        <f t="shared" ref="V590:V595" si="63">V591</f>
        <v>0</v>
      </c>
      <c r="W590" s="175"/>
      <c r="X590" s="175"/>
      <c r="Y590" s="175"/>
      <c r="Z590" s="175"/>
      <c r="AA590" s="175"/>
    </row>
    <row r="591" spans="1:27" s="176" customFormat="1" hidden="1">
      <c r="A591" s="1106"/>
      <c r="B591" s="2464" t="e">
        <f>LEFT(#REF!,5)</f>
        <v>#REF!</v>
      </c>
      <c r="C591" s="2466" t="e">
        <f>VLOOKUP(LEFT(#REF!,5),'11 - FINANCEIRA'!_xlnm.Print_Area,2,FALSE)</f>
        <v>#REF!</v>
      </c>
      <c r="D591" s="2475" t="s">
        <v>254</v>
      </c>
      <c r="E591" s="2476"/>
      <c r="F591" s="2477"/>
      <c r="G591" s="2469" t="s">
        <v>255</v>
      </c>
      <c r="H591" s="2470"/>
      <c r="I591" s="2471"/>
      <c r="J591" s="2468"/>
      <c r="K591" s="2468"/>
      <c r="L591" s="2468"/>
      <c r="M591" s="2468"/>
      <c r="N591" s="2468"/>
      <c r="O591" s="2468"/>
      <c r="P591" s="177" t="s">
        <v>256</v>
      </c>
      <c r="Q591" s="2580"/>
      <c r="R591" s="2580"/>
      <c r="S591" s="2468"/>
      <c r="T591" s="2468"/>
      <c r="U591" s="2585"/>
      <c r="V591" s="429">
        <f t="shared" si="63"/>
        <v>0</v>
      </c>
      <c r="W591" s="175"/>
      <c r="X591" s="175"/>
      <c r="Y591" s="175"/>
      <c r="Z591" s="175"/>
      <c r="AA591" s="175"/>
    </row>
    <row r="592" spans="1:27" s="176" customFormat="1" hidden="1">
      <c r="A592" s="1110"/>
      <c r="B592" s="336"/>
      <c r="C592" s="1022" t="s">
        <v>338</v>
      </c>
      <c r="D592" s="523">
        <v>-2</v>
      </c>
      <c r="E592" s="524" t="s">
        <v>299</v>
      </c>
      <c r="F592" s="525">
        <v>17.78</v>
      </c>
      <c r="G592" s="526">
        <v>0</v>
      </c>
      <c r="H592" s="527" t="s">
        <v>299</v>
      </c>
      <c r="I592" s="528">
        <v>0</v>
      </c>
      <c r="J592" s="426" t="s">
        <v>300</v>
      </c>
      <c r="K592" s="556">
        <f t="shared" ref="K592:K597" si="64">(G592-D592)*20+I592-F592</f>
        <v>22.22</v>
      </c>
      <c r="L592" s="426"/>
      <c r="M592" s="426"/>
      <c r="N592" s="426"/>
      <c r="O592" s="529"/>
      <c r="P592" s="530"/>
      <c r="Q592" s="426">
        <v>2</v>
      </c>
      <c r="R592" s="531">
        <f t="shared" ref="R592:R597" si="65">K592*Q592</f>
        <v>44.44</v>
      </c>
      <c r="S592" s="426" t="s">
        <v>148</v>
      </c>
      <c r="T592" s="532">
        <v>8</v>
      </c>
      <c r="U592" s="428" t="s">
        <v>339</v>
      </c>
      <c r="V592" s="429">
        <f t="shared" si="63"/>
        <v>0</v>
      </c>
      <c r="W592" s="175"/>
      <c r="X592" s="175"/>
      <c r="Y592" s="175"/>
      <c r="Z592" s="175"/>
      <c r="AA592" s="175"/>
    </row>
    <row r="593" spans="1:27" s="176" customFormat="1" hidden="1">
      <c r="A593" s="1110"/>
      <c r="B593" s="452"/>
      <c r="C593" s="1023" t="s">
        <v>338</v>
      </c>
      <c r="D593" s="496">
        <v>0</v>
      </c>
      <c r="E593" s="464" t="s">
        <v>299</v>
      </c>
      <c r="F593" s="498">
        <v>0</v>
      </c>
      <c r="G593" s="533">
        <v>1</v>
      </c>
      <c r="H593" s="459" t="s">
        <v>299</v>
      </c>
      <c r="I593" s="457">
        <v>5</v>
      </c>
      <c r="J593" s="340" t="s">
        <v>300</v>
      </c>
      <c r="K593" s="558">
        <f t="shared" si="64"/>
        <v>25</v>
      </c>
      <c r="L593" s="509"/>
      <c r="M593" s="534"/>
      <c r="N593" s="535"/>
      <c r="O593" s="465"/>
      <c r="P593" s="536"/>
      <c r="Q593" s="509">
        <v>2</v>
      </c>
      <c r="R593" s="537">
        <f t="shared" si="65"/>
        <v>50</v>
      </c>
      <c r="S593" s="538" t="s">
        <v>148</v>
      </c>
      <c r="T593" s="539">
        <v>8</v>
      </c>
      <c r="U593" s="435" t="s">
        <v>339</v>
      </c>
      <c r="V593" s="429">
        <f t="shared" si="63"/>
        <v>0</v>
      </c>
      <c r="W593" s="175"/>
      <c r="X593" s="175"/>
      <c r="Y593" s="175"/>
      <c r="Z593" s="175"/>
      <c r="AA593" s="175"/>
    </row>
    <row r="594" spans="1:27" s="176" customFormat="1" hidden="1">
      <c r="A594" s="1110"/>
      <c r="B594" s="452"/>
      <c r="C594" s="1023" t="s">
        <v>338</v>
      </c>
      <c r="D594" s="496">
        <f>G593</f>
        <v>1</v>
      </c>
      <c r="E594" s="464" t="s">
        <v>299</v>
      </c>
      <c r="F594" s="498">
        <f>I593</f>
        <v>5</v>
      </c>
      <c r="G594" s="533">
        <v>2</v>
      </c>
      <c r="H594" s="459" t="s">
        <v>299</v>
      </c>
      <c r="I594" s="457">
        <v>9</v>
      </c>
      <c r="J594" s="340" t="s">
        <v>300</v>
      </c>
      <c r="K594" s="558">
        <f t="shared" si="64"/>
        <v>24</v>
      </c>
      <c r="L594" s="509"/>
      <c r="M594" s="534"/>
      <c r="N594" s="535"/>
      <c r="O594" s="465"/>
      <c r="P594" s="536"/>
      <c r="Q594" s="509">
        <v>2</v>
      </c>
      <c r="R594" s="537">
        <f t="shared" si="65"/>
        <v>48</v>
      </c>
      <c r="S594" s="538" t="s">
        <v>148</v>
      </c>
      <c r="T594" s="539">
        <v>8</v>
      </c>
      <c r="U594" s="435" t="s">
        <v>339</v>
      </c>
      <c r="V594" s="429">
        <f t="shared" si="63"/>
        <v>0</v>
      </c>
      <c r="W594" s="175"/>
      <c r="X594" s="175"/>
      <c r="Y594" s="175"/>
      <c r="Z594" s="175"/>
      <c r="AA594" s="175"/>
    </row>
    <row r="595" spans="1:27" s="176" customFormat="1" hidden="1">
      <c r="A595" s="1110"/>
      <c r="B595" s="296"/>
      <c r="C595" s="1024" t="s">
        <v>340</v>
      </c>
      <c r="D595" s="496">
        <f t="shared" ref="D595:D601" si="66">G594</f>
        <v>2</v>
      </c>
      <c r="E595" s="464" t="s">
        <v>299</v>
      </c>
      <c r="F595" s="498">
        <f t="shared" ref="F595:F601" si="67">I594</f>
        <v>9</v>
      </c>
      <c r="G595" s="540">
        <v>2</v>
      </c>
      <c r="H595" s="541" t="s">
        <v>299</v>
      </c>
      <c r="I595" s="542">
        <v>13</v>
      </c>
      <c r="J595" s="340" t="s">
        <v>300</v>
      </c>
      <c r="K595" s="1039">
        <f t="shared" si="64"/>
        <v>4</v>
      </c>
      <c r="L595" s="1039"/>
      <c r="M595" s="1040"/>
      <c r="N595" s="1041"/>
      <c r="O595" s="491"/>
      <c r="P595" s="1042"/>
      <c r="Q595" s="1040">
        <v>1</v>
      </c>
      <c r="R595" s="1043">
        <f>K595*Q595</f>
        <v>4</v>
      </c>
      <c r="S595" s="544" t="s">
        <v>148</v>
      </c>
      <c r="T595" s="193">
        <v>8</v>
      </c>
      <c r="U595" s="508" t="s">
        <v>339</v>
      </c>
      <c r="V595" s="429">
        <f t="shared" si="63"/>
        <v>0</v>
      </c>
      <c r="W595" s="175"/>
      <c r="X595" s="175"/>
      <c r="Y595" s="175"/>
      <c r="Z595" s="175"/>
      <c r="AA595" s="175"/>
    </row>
    <row r="596" spans="1:27" s="222" customFormat="1" hidden="1">
      <c r="A596" s="1106"/>
      <c r="B596" s="206"/>
      <c r="C596" s="1020" t="s">
        <v>340</v>
      </c>
      <c r="D596" s="496">
        <f t="shared" si="66"/>
        <v>2</v>
      </c>
      <c r="E596" s="464" t="s">
        <v>299</v>
      </c>
      <c r="F596" s="498">
        <f t="shared" si="67"/>
        <v>13</v>
      </c>
      <c r="G596" s="533">
        <v>4</v>
      </c>
      <c r="H596" s="459" t="s">
        <v>299</v>
      </c>
      <c r="I596" s="545">
        <v>18</v>
      </c>
      <c r="J596" s="340" t="s">
        <v>300</v>
      </c>
      <c r="K596" s="558">
        <f t="shared" si="64"/>
        <v>45</v>
      </c>
      <c r="L596" s="828"/>
      <c r="M596" s="344"/>
      <c r="N596" s="344"/>
      <c r="O596" s="345"/>
      <c r="P596" s="344"/>
      <c r="Q596" s="340">
        <v>1</v>
      </c>
      <c r="R596" s="346">
        <f t="shared" si="65"/>
        <v>45</v>
      </c>
      <c r="S596" s="544" t="s">
        <v>148</v>
      </c>
      <c r="T596" s="347">
        <v>9</v>
      </c>
      <c r="U596" s="508" t="s">
        <v>339</v>
      </c>
      <c r="V596" s="418">
        <f>V598</f>
        <v>0</v>
      </c>
    </row>
    <row r="597" spans="1:27" s="175" customFormat="1" hidden="1">
      <c r="A597" s="1110"/>
      <c r="B597" s="348"/>
      <c r="C597" s="1020" t="s">
        <v>340</v>
      </c>
      <c r="D597" s="496">
        <f t="shared" si="66"/>
        <v>4</v>
      </c>
      <c r="E597" s="464" t="s">
        <v>299</v>
      </c>
      <c r="F597" s="498">
        <f t="shared" si="67"/>
        <v>18</v>
      </c>
      <c r="G597" s="432">
        <v>6</v>
      </c>
      <c r="H597" s="301" t="s">
        <v>299</v>
      </c>
      <c r="I597" s="433">
        <v>10</v>
      </c>
      <c r="J597" s="340" t="s">
        <v>300</v>
      </c>
      <c r="K597" s="821">
        <f t="shared" si="64"/>
        <v>32</v>
      </c>
      <c r="L597" s="988"/>
      <c r="M597" s="351"/>
      <c r="N597" s="352"/>
      <c r="O597" s="353"/>
      <c r="P597" s="350"/>
      <c r="Q597" s="566">
        <v>1</v>
      </c>
      <c r="R597" s="356">
        <f t="shared" si="65"/>
        <v>32</v>
      </c>
      <c r="S597" s="715" t="s">
        <v>148</v>
      </c>
      <c r="T597" s="355">
        <v>10</v>
      </c>
      <c r="U597" s="508" t="s">
        <v>341</v>
      </c>
      <c r="V597" s="429">
        <f>V605</f>
        <v>0</v>
      </c>
    </row>
    <row r="598" spans="1:27" s="222" customFormat="1" hidden="1">
      <c r="A598" s="1106"/>
      <c r="B598" s="442"/>
      <c r="C598" s="1021" t="s">
        <v>340</v>
      </c>
      <c r="D598" s="496">
        <f t="shared" si="66"/>
        <v>6</v>
      </c>
      <c r="E598" s="464" t="s">
        <v>299</v>
      </c>
      <c r="F598" s="498">
        <f t="shared" si="67"/>
        <v>10</v>
      </c>
      <c r="G598" s="432">
        <v>7</v>
      </c>
      <c r="H598" s="301" t="s">
        <v>299</v>
      </c>
      <c r="I598" s="433">
        <v>0</v>
      </c>
      <c r="J598" s="340" t="s">
        <v>300</v>
      </c>
      <c r="K598" s="821">
        <f>(G598-D598)*20+I598-F598</f>
        <v>10</v>
      </c>
      <c r="L598" s="988"/>
      <c r="M598" s="351"/>
      <c r="N598" s="352"/>
      <c r="O598" s="353"/>
      <c r="P598" s="350"/>
      <c r="Q598" s="566">
        <v>1</v>
      </c>
      <c r="R598" s="356">
        <f t="shared" ref="R598:R603" si="68">K598*Q598</f>
        <v>10</v>
      </c>
      <c r="S598" s="715" t="s">
        <v>148</v>
      </c>
      <c r="T598" s="355">
        <v>11</v>
      </c>
      <c r="U598" s="428" t="s">
        <v>341</v>
      </c>
      <c r="V598" s="418">
        <f>V606</f>
        <v>0</v>
      </c>
    </row>
    <row r="599" spans="1:27" s="175" customFormat="1" hidden="1">
      <c r="A599" s="1110"/>
      <c r="B599" s="342"/>
      <c r="C599" s="1020" t="s">
        <v>340</v>
      </c>
      <c r="D599" s="496">
        <f t="shared" si="66"/>
        <v>7</v>
      </c>
      <c r="E599" s="464" t="s">
        <v>299</v>
      </c>
      <c r="F599" s="498">
        <f t="shared" si="67"/>
        <v>0</v>
      </c>
      <c r="G599" s="455">
        <v>8</v>
      </c>
      <c r="H599" s="456" t="s">
        <v>299</v>
      </c>
      <c r="I599" s="457">
        <v>6</v>
      </c>
      <c r="J599" s="340" t="s">
        <v>300</v>
      </c>
      <c r="K599" s="623">
        <f>(G599-D599)*20+I599-F599</f>
        <v>26</v>
      </c>
      <c r="L599" s="828"/>
      <c r="M599" s="505"/>
      <c r="N599" s="506"/>
      <c r="O599" s="406"/>
      <c r="P599" s="344"/>
      <c r="Q599" s="463">
        <v>1</v>
      </c>
      <c r="R599" s="346">
        <f t="shared" si="68"/>
        <v>26</v>
      </c>
      <c r="S599" s="406" t="s">
        <v>148</v>
      </c>
      <c r="T599" s="347">
        <v>18</v>
      </c>
      <c r="U599" s="435"/>
      <c r="V599" s="429"/>
    </row>
    <row r="600" spans="1:27" s="175" customFormat="1" hidden="1">
      <c r="A600" s="1110"/>
      <c r="B600" s="342"/>
      <c r="C600" s="1020" t="s">
        <v>340</v>
      </c>
      <c r="D600" s="496">
        <f t="shared" si="66"/>
        <v>8</v>
      </c>
      <c r="E600" s="464" t="s">
        <v>299</v>
      </c>
      <c r="F600" s="498">
        <f t="shared" si="67"/>
        <v>6</v>
      </c>
      <c r="G600" s="533">
        <v>11</v>
      </c>
      <c r="H600" s="459" t="s">
        <v>299</v>
      </c>
      <c r="I600" s="545">
        <v>7</v>
      </c>
      <c r="J600" s="340" t="s">
        <v>300</v>
      </c>
      <c r="K600" s="623">
        <v>29</v>
      </c>
      <c r="L600" s="828"/>
      <c r="M600" s="505"/>
      <c r="N600" s="506"/>
      <c r="O600" s="406"/>
      <c r="P600" s="344"/>
      <c r="Q600" s="463">
        <v>1</v>
      </c>
      <c r="R600" s="346">
        <f t="shared" si="68"/>
        <v>29</v>
      </c>
      <c r="S600" s="406" t="s">
        <v>148</v>
      </c>
      <c r="T600" s="347">
        <v>19</v>
      </c>
      <c r="U600" s="435"/>
      <c r="V600" s="429"/>
    </row>
    <row r="601" spans="1:27" s="175" customFormat="1" hidden="1">
      <c r="A601" s="1110"/>
      <c r="B601" s="348"/>
      <c r="C601" s="1021" t="s">
        <v>340</v>
      </c>
      <c r="D601" s="611">
        <f t="shared" si="66"/>
        <v>11</v>
      </c>
      <c r="E601" s="714" t="s">
        <v>299</v>
      </c>
      <c r="F601" s="565">
        <f t="shared" si="67"/>
        <v>7</v>
      </c>
      <c r="G601" s="432">
        <v>11</v>
      </c>
      <c r="H601" s="301" t="s">
        <v>299</v>
      </c>
      <c r="I601" s="433">
        <v>10</v>
      </c>
      <c r="J601" s="357" t="s">
        <v>300</v>
      </c>
      <c r="K601" s="821">
        <f>(G601-D601)*20+I601-F601</f>
        <v>3</v>
      </c>
      <c r="L601" s="988"/>
      <c r="M601" s="351"/>
      <c r="N601" s="352"/>
      <c r="O601" s="353"/>
      <c r="P601" s="350"/>
      <c r="Q601" s="566">
        <v>1</v>
      </c>
      <c r="R601" s="356">
        <f t="shared" si="68"/>
        <v>3</v>
      </c>
      <c r="S601" s="353" t="s">
        <v>148</v>
      </c>
      <c r="T601" s="355">
        <v>20</v>
      </c>
      <c r="U601" s="559"/>
      <c r="V601" s="429"/>
    </row>
    <row r="602" spans="1:27" s="175" customFormat="1" hidden="1">
      <c r="A602" s="1110"/>
      <c r="B602" s="1703"/>
      <c r="C602" s="1020" t="s">
        <v>340</v>
      </c>
      <c r="D602" s="434">
        <v>42</v>
      </c>
      <c r="E602" s="340" t="s">
        <v>299</v>
      </c>
      <c r="F602" s="434">
        <v>16</v>
      </c>
      <c r="G602" s="1704">
        <v>44</v>
      </c>
      <c r="H602" s="408" t="s">
        <v>299</v>
      </c>
      <c r="I602" s="1704">
        <v>0</v>
      </c>
      <c r="J602" s="340" t="s">
        <v>300</v>
      </c>
      <c r="K602" s="509">
        <f>(G602-D602)*20+I602-F602</f>
        <v>24</v>
      </c>
      <c r="L602" s="344"/>
      <c r="M602" s="344"/>
      <c r="N602" s="344"/>
      <c r="O602" s="345"/>
      <c r="P602" s="344"/>
      <c r="Q602" s="340">
        <v>1</v>
      </c>
      <c r="R602" s="346">
        <f t="shared" si="68"/>
        <v>24</v>
      </c>
      <c r="S602" s="345" t="s">
        <v>148</v>
      </c>
      <c r="T602" s="347">
        <v>20</v>
      </c>
      <c r="U602" s="1705"/>
      <c r="V602" s="429"/>
    </row>
    <row r="603" spans="1:27" s="175" customFormat="1" hidden="1">
      <c r="A603" s="1110"/>
      <c r="B603" s="1072"/>
      <c r="C603" s="1073" t="s">
        <v>340</v>
      </c>
      <c r="D603" s="844">
        <f>G601</f>
        <v>11</v>
      </c>
      <c r="E603" s="1074" t="s">
        <v>299</v>
      </c>
      <c r="F603" s="816">
        <f>I601</f>
        <v>10</v>
      </c>
      <c r="G603" s="1075">
        <v>12</v>
      </c>
      <c r="H603" s="1076" t="s">
        <v>299</v>
      </c>
      <c r="I603" s="1077">
        <v>19</v>
      </c>
      <c r="J603" s="392" t="s">
        <v>300</v>
      </c>
      <c r="K603" s="1702">
        <f>(G603-D603)*20+I603-F603</f>
        <v>29</v>
      </c>
      <c r="L603" s="817"/>
      <c r="M603" s="1078"/>
      <c r="N603" s="1079"/>
      <c r="O603" s="544"/>
      <c r="P603" s="817"/>
      <c r="Q603" s="1080">
        <v>1</v>
      </c>
      <c r="R603" s="1577">
        <f t="shared" si="68"/>
        <v>29</v>
      </c>
      <c r="S603" s="544" t="s">
        <v>148</v>
      </c>
      <c r="T603" s="819">
        <v>21</v>
      </c>
      <c r="U603" s="508"/>
      <c r="V603" s="429"/>
    </row>
    <row r="604" spans="1:27" s="222" customFormat="1" hidden="1">
      <c r="A604" s="1106"/>
      <c r="B604" s="990"/>
      <c r="C604" s="1025"/>
      <c r="D604" s="430"/>
      <c r="E604" s="298"/>
      <c r="F604" s="1157"/>
      <c r="G604" s="956"/>
      <c r="H604" s="957"/>
      <c r="I604" s="1026"/>
      <c r="J604" s="1493"/>
      <c r="K604" s="1027"/>
      <c r="L604" s="1038"/>
      <c r="M604" s="1706"/>
      <c r="N604" s="1706"/>
      <c r="O604" s="1707"/>
      <c r="P604" s="1706"/>
      <c r="Q604" s="1493"/>
      <c r="R604" s="1708"/>
      <c r="S604" s="1707"/>
      <c r="T604" s="1497"/>
      <c r="U604" s="1498"/>
      <c r="V604" s="418"/>
    </row>
    <row r="605" spans="1:27" s="40" customFormat="1" hidden="1">
      <c r="A605" s="1106"/>
      <c r="B605" s="239"/>
      <c r="C605" s="1603"/>
      <c r="D605" s="2527" t="s">
        <v>257</v>
      </c>
      <c r="E605" s="2528"/>
      <c r="F605" s="2528"/>
      <c r="G605" s="2528"/>
      <c r="H605" s="2528"/>
      <c r="I605" s="2529"/>
      <c r="J605" s="2668">
        <f>VLOOKUP(A607,'11 - FINANCEIRA'!_xlnm.Print_Area,24,FALSE)</f>
        <v>0</v>
      </c>
      <c r="K605" s="2669"/>
      <c r="L605" s="309" t="str">
        <f>VLOOKUP(A607,'11 - FINANCEIRA'!_xlnm.Print_Area,4,FALSE)</f>
        <v>un</v>
      </c>
      <c r="M605" s="2556" t="s">
        <v>258</v>
      </c>
      <c r="N605" s="2557"/>
      <c r="O605" s="2557"/>
      <c r="P605" s="2557"/>
      <c r="Q605" s="2558"/>
      <c r="R605" s="248">
        <f>SUM(R592:R603)</f>
        <v>344.44</v>
      </c>
      <c r="S605" s="310" t="str">
        <f>L605</f>
        <v>un</v>
      </c>
      <c r="T605" s="321"/>
      <c r="U605" s="322"/>
      <c r="V605" s="418">
        <f>V606</f>
        <v>0</v>
      </c>
    </row>
    <row r="606" spans="1:27" s="40" customFormat="1" hidden="1">
      <c r="A606" s="1106" t="s">
        <v>53</v>
      </c>
      <c r="B606" s="246"/>
      <c r="C606" s="247"/>
      <c r="D606" s="2521" t="s">
        <v>259</v>
      </c>
      <c r="E606" s="2522"/>
      <c r="F606" s="2522"/>
      <c r="G606" s="2522"/>
      <c r="H606" s="2522"/>
      <c r="I606" s="2523"/>
      <c r="J606" s="2515" t="e">
        <f>R605/J605</f>
        <v>#DIV/0!</v>
      </c>
      <c r="K606" s="2516"/>
      <c r="L606" s="2554"/>
      <c r="M606" s="2556" t="s">
        <v>260</v>
      </c>
      <c r="N606" s="2557"/>
      <c r="O606" s="2557"/>
      <c r="P606" s="2557"/>
      <c r="Q606" s="2558"/>
      <c r="R606" s="248">
        <f>VLOOKUP(A607,'11 - FINANCEIRA'!_xlnm.Print_Area,8,FALSE)</f>
        <v>344.44</v>
      </c>
      <c r="S606" s="249" t="str">
        <f>L605</f>
        <v>un</v>
      </c>
      <c r="T606" s="244"/>
      <c r="U606" s="245"/>
      <c r="V606" s="418">
        <f>V607</f>
        <v>0</v>
      </c>
    </row>
    <row r="607" spans="1:27" s="40" customFormat="1" hidden="1">
      <c r="A607" s="1106" t="s">
        <v>54</v>
      </c>
      <c r="B607" s="246"/>
      <c r="C607" s="240"/>
      <c r="D607" s="2524"/>
      <c r="E607" s="2525"/>
      <c r="F607" s="2525"/>
      <c r="G607" s="2525"/>
      <c r="H607" s="2525"/>
      <c r="I607" s="2526"/>
      <c r="J607" s="2519"/>
      <c r="K607" s="2520"/>
      <c r="L607" s="2570"/>
      <c r="M607" s="2574" t="s">
        <v>261</v>
      </c>
      <c r="N607" s="2575"/>
      <c r="O607" s="2575"/>
      <c r="P607" s="2575"/>
      <c r="Q607" s="2576"/>
      <c r="R607" s="251">
        <f>R605-R606</f>
        <v>0</v>
      </c>
      <c r="S607" s="252" t="str">
        <f>L605</f>
        <v>un</v>
      </c>
      <c r="T607" s="244"/>
      <c r="U607" s="245"/>
      <c r="V607" s="418">
        <f>R607</f>
        <v>0</v>
      </c>
    </row>
    <row r="608" spans="1:27" s="40" customFormat="1" hidden="1">
      <c r="A608" s="1106"/>
      <c r="B608" s="311"/>
      <c r="C608" s="312"/>
      <c r="D608" s="313"/>
      <c r="E608" s="314"/>
      <c r="F608" s="313"/>
      <c r="G608" s="313"/>
      <c r="H608" s="313"/>
      <c r="I608" s="313"/>
      <c r="J608" s="315"/>
      <c r="K608" s="316"/>
      <c r="L608" s="317"/>
      <c r="M608" s="318"/>
      <c r="N608" s="318"/>
      <c r="O608" s="318"/>
      <c r="P608" s="318"/>
      <c r="Q608" s="318"/>
      <c r="R608" s="319"/>
      <c r="S608" s="320"/>
      <c r="T608" s="321"/>
      <c r="U608" s="322"/>
      <c r="V608" s="418">
        <f>SUM(V590:V607)</f>
        <v>0</v>
      </c>
    </row>
    <row r="609" spans="1:27" s="176" customFormat="1" hidden="1">
      <c r="A609" s="1106"/>
      <c r="B609" s="2463">
        <f>VLOOKUP(A618,'11 - FINANCEIRA'!_xlnm.Print_Area,2,FALSE)</f>
        <v>6817851</v>
      </c>
      <c r="C609" s="2644" t="str">
        <f>VLOOKUP(A618,'11 - FINANCEIRA'!_xlnm.Print_Area,3,FALSE)</f>
        <v>Fornecimento e assentamento de galeria de concreto pré-moldado 3 X 2 metros aberta (tampa removível)</v>
      </c>
      <c r="D609" s="2472" t="s">
        <v>242</v>
      </c>
      <c r="E609" s="2473"/>
      <c r="F609" s="2473"/>
      <c r="G609" s="2473"/>
      <c r="H609" s="2473"/>
      <c r="I609" s="2474"/>
      <c r="J609" s="2467" t="s">
        <v>243</v>
      </c>
      <c r="K609" s="2467" t="s">
        <v>244</v>
      </c>
      <c r="L609" s="2467" t="s">
        <v>245</v>
      </c>
      <c r="M609" s="2467" t="s">
        <v>342</v>
      </c>
      <c r="N609" s="2467" t="s">
        <v>247</v>
      </c>
      <c r="O609" s="2467" t="s">
        <v>248</v>
      </c>
      <c r="P609" s="173" t="s">
        <v>249</v>
      </c>
      <c r="Q609" s="2579" t="s">
        <v>337</v>
      </c>
      <c r="R609" s="2579" t="s">
        <v>139</v>
      </c>
      <c r="S609" s="2467" t="s">
        <v>251</v>
      </c>
      <c r="T609" s="2467" t="s">
        <v>252</v>
      </c>
      <c r="U609" s="2584" t="s">
        <v>253</v>
      </c>
      <c r="V609" s="418">
        <f t="shared" ref="V609:V617" si="69">V610</f>
        <v>0</v>
      </c>
      <c r="W609" s="175"/>
      <c r="X609" s="175"/>
      <c r="Y609" s="175"/>
      <c r="Z609" s="175"/>
      <c r="AA609" s="175"/>
    </row>
    <row r="610" spans="1:27" s="176" customFormat="1" hidden="1">
      <c r="A610" s="1106"/>
      <c r="B610" s="2464" t="e">
        <f>LEFT(#REF!,5)</f>
        <v>#REF!</v>
      </c>
      <c r="C610" s="2645" t="e">
        <f>VLOOKUP(LEFT(#REF!,5),'11 - FINANCEIRA'!_xlnm.Print_Area,2,FALSE)</f>
        <v>#REF!</v>
      </c>
      <c r="D610" s="2475" t="s">
        <v>254</v>
      </c>
      <c r="E610" s="2476"/>
      <c r="F610" s="2477"/>
      <c r="G610" s="2469" t="s">
        <v>255</v>
      </c>
      <c r="H610" s="2470"/>
      <c r="I610" s="2471"/>
      <c r="J610" s="2468"/>
      <c r="K610" s="2468"/>
      <c r="L610" s="2468"/>
      <c r="M610" s="2468"/>
      <c r="N610" s="2468"/>
      <c r="O610" s="2468"/>
      <c r="P610" s="177" t="s">
        <v>256</v>
      </c>
      <c r="Q610" s="2580"/>
      <c r="R610" s="2580"/>
      <c r="S610" s="2468"/>
      <c r="T610" s="2468"/>
      <c r="U610" s="2585"/>
      <c r="V610" s="418">
        <f t="shared" si="69"/>
        <v>0</v>
      </c>
      <c r="W610" s="175"/>
      <c r="X610" s="175"/>
      <c r="Y610" s="175"/>
      <c r="Z610" s="175"/>
      <c r="AA610" s="175"/>
    </row>
    <row r="611" spans="1:27" s="176" customFormat="1" ht="30" hidden="1">
      <c r="A611" s="1110"/>
      <c r="B611" s="336"/>
      <c r="C611" s="337" t="s">
        <v>189</v>
      </c>
      <c r="D611" s="443">
        <v>1</v>
      </c>
      <c r="E611" s="444" t="s">
        <v>299</v>
      </c>
      <c r="F611" s="445">
        <v>5</v>
      </c>
      <c r="G611" s="446">
        <v>1</v>
      </c>
      <c r="H611" s="447" t="s">
        <v>299</v>
      </c>
      <c r="I611" s="448">
        <v>7</v>
      </c>
      <c r="J611" s="411" t="s">
        <v>300</v>
      </c>
      <c r="K611" s="546">
        <f>(G611-D611)*20+I611-F611</f>
        <v>2</v>
      </c>
      <c r="L611" s="411"/>
      <c r="M611" s="411"/>
      <c r="N611" s="411"/>
      <c r="O611" s="411"/>
      <c r="P611" s="449"/>
      <c r="Q611" s="411">
        <v>2</v>
      </c>
      <c r="R611" s="450">
        <f>K611*Q611</f>
        <v>4</v>
      </c>
      <c r="S611" s="411" t="s">
        <v>148</v>
      </c>
      <c r="T611" s="451">
        <v>8</v>
      </c>
      <c r="U611" s="428" t="s">
        <v>339</v>
      </c>
      <c r="V611" s="429">
        <f t="shared" si="69"/>
        <v>0</v>
      </c>
      <c r="W611" s="175"/>
      <c r="X611" s="175"/>
      <c r="Y611" s="175"/>
      <c r="Z611" s="175"/>
      <c r="AA611" s="175"/>
    </row>
    <row r="612" spans="1:27" s="176" customFormat="1" ht="30" hidden="1">
      <c r="A612" s="1110"/>
      <c r="B612" s="296"/>
      <c r="C612" s="339" t="s">
        <v>189</v>
      </c>
      <c r="D612" s="496">
        <v>5</v>
      </c>
      <c r="E612" s="464" t="s">
        <v>299</v>
      </c>
      <c r="F612" s="498">
        <v>0</v>
      </c>
      <c r="G612" s="533">
        <v>5</v>
      </c>
      <c r="H612" s="459" t="s">
        <v>299</v>
      </c>
      <c r="I612" s="545">
        <v>2</v>
      </c>
      <c r="J612" s="340" t="s">
        <v>300</v>
      </c>
      <c r="K612" s="434">
        <f>(G612-D612)*20+I612-F612</f>
        <v>2</v>
      </c>
      <c r="L612" s="340"/>
      <c r="M612" s="340"/>
      <c r="N612" s="340"/>
      <c r="O612" s="340"/>
      <c r="P612" s="461"/>
      <c r="Q612" s="340">
        <v>1</v>
      </c>
      <c r="R612" s="462">
        <f>K612*Q612</f>
        <v>2</v>
      </c>
      <c r="S612" s="340" t="s">
        <v>148</v>
      </c>
      <c r="T612" s="347">
        <v>10</v>
      </c>
      <c r="U612" s="435" t="s">
        <v>341</v>
      </c>
      <c r="V612" s="429">
        <f t="shared" si="69"/>
        <v>0</v>
      </c>
      <c r="W612" s="175"/>
      <c r="X612" s="175"/>
      <c r="Y612" s="175"/>
      <c r="Z612" s="175"/>
      <c r="AA612" s="175"/>
    </row>
    <row r="613" spans="1:27" s="175" customFormat="1" ht="30" hidden="1">
      <c r="A613" s="1110"/>
      <c r="B613" s="557"/>
      <c r="C613" s="339" t="s">
        <v>189</v>
      </c>
      <c r="D613" s="496">
        <v>7</v>
      </c>
      <c r="E613" s="464" t="s">
        <v>299</v>
      </c>
      <c r="F613" s="498">
        <v>0</v>
      </c>
      <c r="G613" s="533">
        <v>7</v>
      </c>
      <c r="H613" s="459" t="s">
        <v>299</v>
      </c>
      <c r="I613" s="545">
        <v>2</v>
      </c>
      <c r="J613" s="340" t="s">
        <v>300</v>
      </c>
      <c r="K613" s="434">
        <f>(G613-D613)*20+I613-F613</f>
        <v>2</v>
      </c>
      <c r="L613" s="340"/>
      <c r="M613" s="340"/>
      <c r="N613" s="340"/>
      <c r="O613" s="340"/>
      <c r="P613" s="461"/>
      <c r="Q613" s="340">
        <v>1</v>
      </c>
      <c r="R613" s="462">
        <f>K613*Q613</f>
        <v>2</v>
      </c>
      <c r="S613" s="340" t="s">
        <v>148</v>
      </c>
      <c r="T613" s="347">
        <v>18</v>
      </c>
      <c r="U613" s="435"/>
      <c r="V613" s="429">
        <f>V615</f>
        <v>0</v>
      </c>
    </row>
    <row r="614" spans="1:27" s="175" customFormat="1" ht="30" hidden="1">
      <c r="A614" s="1110"/>
      <c r="B614" s="296"/>
      <c r="C614" s="339" t="s">
        <v>189</v>
      </c>
      <c r="D614" s="496">
        <v>10</v>
      </c>
      <c r="E614" s="464" t="s">
        <v>299</v>
      </c>
      <c r="F614" s="498">
        <v>0</v>
      </c>
      <c r="G614" s="533">
        <v>10</v>
      </c>
      <c r="H614" s="459" t="s">
        <v>299</v>
      </c>
      <c r="I614" s="545">
        <v>2</v>
      </c>
      <c r="J614" s="340" t="s">
        <v>300</v>
      </c>
      <c r="K614" s="434">
        <f>(G614-D614)*20+I614-F614</f>
        <v>2</v>
      </c>
      <c r="L614" s="340"/>
      <c r="M614" s="340"/>
      <c r="N614" s="340"/>
      <c r="O614" s="340"/>
      <c r="P614" s="461"/>
      <c r="Q614" s="340">
        <v>1</v>
      </c>
      <c r="R614" s="462">
        <f>K614*Q614</f>
        <v>2</v>
      </c>
      <c r="S614" s="340" t="s">
        <v>148</v>
      </c>
      <c r="T614" s="347">
        <v>19</v>
      </c>
      <c r="U614" s="435"/>
      <c r="V614" s="429"/>
    </row>
    <row r="615" spans="1:27" s="222" customFormat="1" hidden="1">
      <c r="A615" s="1106"/>
      <c r="B615" s="223"/>
      <c r="C615" s="224"/>
      <c r="D615" s="225"/>
      <c r="E615" s="226"/>
      <c r="F615" s="227"/>
      <c r="G615" s="225"/>
      <c r="H615" s="226"/>
      <c r="I615" s="227"/>
      <c r="J615" s="228"/>
      <c r="K615" s="229"/>
      <c r="L615" s="230"/>
      <c r="M615" s="231"/>
      <c r="N615" s="232"/>
      <c r="O615" s="233"/>
      <c r="P615" s="230"/>
      <c r="Q615" s="234"/>
      <c r="R615" s="235"/>
      <c r="S615" s="236"/>
      <c r="T615" s="294"/>
      <c r="U615" s="238"/>
      <c r="V615" s="418">
        <f t="shared" si="69"/>
        <v>0</v>
      </c>
    </row>
    <row r="616" spans="1:27" s="40" customFormat="1" hidden="1">
      <c r="A616" s="1106"/>
      <c r="B616" s="246"/>
      <c r="C616" s="240"/>
      <c r="D616" s="2527" t="s">
        <v>257</v>
      </c>
      <c r="E616" s="2528"/>
      <c r="F616" s="2528"/>
      <c r="G616" s="2528"/>
      <c r="H616" s="2528"/>
      <c r="I616" s="2529"/>
      <c r="J616" s="2668">
        <f>VLOOKUP(A618,'11 - FINANCEIRA'!_xlnm.Print_Area,30,FALSE)</f>
        <v>17</v>
      </c>
      <c r="K616" s="2669"/>
      <c r="L616" s="309" t="str">
        <f>VLOOKUP(A618,'11 - FINANCEIRA'!_xlnm.Print_Area,4,FALSE)</f>
        <v>un</v>
      </c>
      <c r="M616" s="2556" t="s">
        <v>258</v>
      </c>
      <c r="N616" s="2557"/>
      <c r="O616" s="2557"/>
      <c r="P616" s="2557"/>
      <c r="Q616" s="2558"/>
      <c r="R616" s="248">
        <f>SUM(R611:R615)</f>
        <v>10</v>
      </c>
      <c r="S616" s="310" t="str">
        <f>L616</f>
        <v>un</v>
      </c>
      <c r="T616" s="244"/>
      <c r="U616" s="245"/>
      <c r="V616" s="418">
        <f t="shared" si="69"/>
        <v>0</v>
      </c>
    </row>
    <row r="617" spans="1:27" s="40" customFormat="1" hidden="1">
      <c r="A617" s="1106"/>
      <c r="B617" s="246"/>
      <c r="C617" s="247"/>
      <c r="D617" s="2521" t="s">
        <v>259</v>
      </c>
      <c r="E617" s="2522"/>
      <c r="F617" s="2522"/>
      <c r="G617" s="2522"/>
      <c r="H617" s="2522"/>
      <c r="I617" s="2523"/>
      <c r="J617" s="2515">
        <f>R616/J616</f>
        <v>0.58823529411764708</v>
      </c>
      <c r="K617" s="2516"/>
      <c r="L617" s="2554"/>
      <c r="M617" s="2556" t="s">
        <v>260</v>
      </c>
      <c r="N617" s="2557"/>
      <c r="O617" s="2557"/>
      <c r="P617" s="2557"/>
      <c r="Q617" s="2558"/>
      <c r="R617" s="248">
        <f>VLOOKUP(A618,'11 - FINANCEIRA'!_xlnm.Print_Area,8,FALSE)</f>
        <v>10</v>
      </c>
      <c r="S617" s="249" t="str">
        <f>L616</f>
        <v>un</v>
      </c>
      <c r="T617" s="244"/>
      <c r="U617" s="245"/>
      <c r="V617" s="418">
        <f t="shared" si="69"/>
        <v>0</v>
      </c>
    </row>
    <row r="618" spans="1:27" s="40" customFormat="1" hidden="1">
      <c r="A618" s="1106" t="s">
        <v>55</v>
      </c>
      <c r="B618" s="246"/>
      <c r="C618" s="240"/>
      <c r="D618" s="2524"/>
      <c r="E618" s="2525"/>
      <c r="F618" s="2525"/>
      <c r="G618" s="2525"/>
      <c r="H618" s="2525"/>
      <c r="I618" s="2526"/>
      <c r="J618" s="2519"/>
      <c r="K618" s="2520"/>
      <c r="L618" s="2570"/>
      <c r="M618" s="2574" t="s">
        <v>261</v>
      </c>
      <c r="N618" s="2575"/>
      <c r="O618" s="2575"/>
      <c r="P618" s="2575"/>
      <c r="Q618" s="2576"/>
      <c r="R618" s="251">
        <f>R616-R617</f>
        <v>0</v>
      </c>
      <c r="S618" s="252" t="str">
        <f>L616</f>
        <v>un</v>
      </c>
      <c r="T618" s="244"/>
      <c r="U618" s="245"/>
      <c r="V618" s="418">
        <f>R618</f>
        <v>0</v>
      </c>
    </row>
    <row r="619" spans="1:27" s="40" customFormat="1" hidden="1">
      <c r="A619" s="1106"/>
      <c r="B619" s="311"/>
      <c r="C619" s="312"/>
      <c r="D619" s="313"/>
      <c r="E619" s="314"/>
      <c r="F619" s="313"/>
      <c r="G619" s="313"/>
      <c r="H619" s="313"/>
      <c r="I619" s="313"/>
      <c r="J619" s="315"/>
      <c r="K619" s="316"/>
      <c r="L619" s="317"/>
      <c r="M619" s="318"/>
      <c r="N619" s="318"/>
      <c r="O619" s="318"/>
      <c r="P619" s="318"/>
      <c r="Q619" s="318"/>
      <c r="R619" s="319"/>
      <c r="S619" s="320"/>
      <c r="T619" s="321"/>
      <c r="U619" s="322"/>
      <c r="V619" s="418">
        <f>SUM(V609:V618)</f>
        <v>0</v>
      </c>
    </row>
    <row r="620" spans="1:27" s="176" customFormat="1">
      <c r="A620" s="1106"/>
      <c r="B620" s="2463">
        <f>VLOOKUP(A630,'11 - FINANCEIRA'!_xlnm.Print_Area,2,FALSE)</f>
        <v>1106057</v>
      </c>
      <c r="C620" s="2465" t="str">
        <f>VLOOKUP(A630,'11 - FINANCEIRA'!_xlnm.Print_Area,3,FALSE)</f>
        <v>Concreto magro - confecção em betoneira e lançamento manual - areia e brita comerciais</v>
      </c>
      <c r="D620" s="2472" t="s">
        <v>242</v>
      </c>
      <c r="E620" s="2473"/>
      <c r="F620" s="2473"/>
      <c r="G620" s="2473"/>
      <c r="H620" s="2473"/>
      <c r="I620" s="2474"/>
      <c r="J620" s="2467" t="s">
        <v>243</v>
      </c>
      <c r="K620" s="2467" t="s">
        <v>244</v>
      </c>
      <c r="L620" s="2467" t="s">
        <v>245</v>
      </c>
      <c r="M620" s="2467" t="s">
        <v>343</v>
      </c>
      <c r="N620" s="2467" t="s">
        <v>247</v>
      </c>
      <c r="O620" s="2467" t="s">
        <v>248</v>
      </c>
      <c r="P620" s="173" t="s">
        <v>249</v>
      </c>
      <c r="Q620" s="2579"/>
      <c r="R620" s="2579" t="s">
        <v>139</v>
      </c>
      <c r="S620" s="2467" t="s">
        <v>251</v>
      </c>
      <c r="T620" s="2467" t="s">
        <v>252</v>
      </c>
      <c r="U620" s="2584" t="s">
        <v>253</v>
      </c>
      <c r="V620" s="418" t="e">
        <f t="shared" ref="V620:V629" si="70">V621</f>
        <v>#REF!</v>
      </c>
      <c r="W620" s="175"/>
      <c r="X620" s="175"/>
      <c r="Y620" s="175"/>
      <c r="Z620" s="175"/>
      <c r="AA620" s="175"/>
    </row>
    <row r="621" spans="1:27" s="176" customFormat="1">
      <c r="A621" s="1106"/>
      <c r="B621" s="2464" t="e">
        <f>LEFT(#REF!,5)</f>
        <v>#REF!</v>
      </c>
      <c r="C621" s="2466" t="e">
        <f>VLOOKUP(LEFT(#REF!,5),'11 - FINANCEIRA'!_xlnm.Print_Area,2,FALSE)</f>
        <v>#REF!</v>
      </c>
      <c r="D621" s="2475" t="s">
        <v>254</v>
      </c>
      <c r="E621" s="2476"/>
      <c r="F621" s="2477"/>
      <c r="G621" s="2469" t="s">
        <v>255</v>
      </c>
      <c r="H621" s="2470"/>
      <c r="I621" s="2471"/>
      <c r="J621" s="2468"/>
      <c r="K621" s="2468"/>
      <c r="L621" s="2468"/>
      <c r="M621" s="2468"/>
      <c r="N621" s="2468"/>
      <c r="O621" s="2468"/>
      <c r="P621" s="177" t="s">
        <v>256</v>
      </c>
      <c r="Q621" s="2580"/>
      <c r="R621" s="2580"/>
      <c r="S621" s="2468"/>
      <c r="T621" s="2468"/>
      <c r="U621" s="2585"/>
      <c r="V621" s="418" t="e">
        <f t="shared" si="70"/>
        <v>#REF!</v>
      </c>
      <c r="W621" s="175"/>
      <c r="X621" s="175"/>
      <c r="Y621" s="175"/>
      <c r="Z621" s="175"/>
      <c r="AA621" s="175"/>
    </row>
    <row r="622" spans="1:27" s="176" customFormat="1">
      <c r="A622" s="1110"/>
      <c r="B622" s="336"/>
      <c r="C622" s="266" t="s">
        <v>344</v>
      </c>
      <c r="D622" s="419">
        <v>-2</v>
      </c>
      <c r="E622" s="420" t="s">
        <v>299</v>
      </c>
      <c r="F622" s="421">
        <v>17.78</v>
      </c>
      <c r="G622" s="422">
        <v>2</v>
      </c>
      <c r="H622" s="423" t="s">
        <v>299</v>
      </c>
      <c r="I622" s="424">
        <v>11</v>
      </c>
      <c r="J622" s="489" t="s">
        <v>300</v>
      </c>
      <c r="K622" s="489">
        <f>(G622-D622)*20+I622-F622</f>
        <v>73.22</v>
      </c>
      <c r="L622" s="489">
        <v>7.6</v>
      </c>
      <c r="M622" s="275">
        <v>0.05</v>
      </c>
      <c r="N622" s="275"/>
      <c r="O622" s="483">
        <f>TRUNC(K622*L622*M622,3)</f>
        <v>27.823</v>
      </c>
      <c r="P622" s="338"/>
      <c r="Q622" s="275"/>
      <c r="R622" s="191">
        <f>O622</f>
        <v>27.823</v>
      </c>
      <c r="S622" s="275" t="s">
        <v>164</v>
      </c>
      <c r="T622" s="276">
        <v>8</v>
      </c>
      <c r="U622" s="2183" t="s">
        <v>339</v>
      </c>
      <c r="V622" s="429" t="e">
        <f t="shared" si="70"/>
        <v>#REF!</v>
      </c>
      <c r="W622" s="175"/>
      <c r="X622" s="175"/>
      <c r="Y622" s="175"/>
      <c r="Z622" s="175"/>
      <c r="AA622" s="175"/>
    </row>
    <row r="623" spans="1:27" s="686" customFormat="1">
      <c r="A623" s="1106"/>
      <c r="B623" s="195"/>
      <c r="C623" s="196" t="s">
        <v>345</v>
      </c>
      <c r="D623" s="676">
        <v>2</v>
      </c>
      <c r="E623" s="198" t="s">
        <v>299</v>
      </c>
      <c r="F623" s="677">
        <v>11</v>
      </c>
      <c r="G623" s="683">
        <v>6</v>
      </c>
      <c r="H623" s="200" t="s">
        <v>299</v>
      </c>
      <c r="I623" s="684">
        <v>14</v>
      </c>
      <c r="J623" s="201" t="s">
        <v>300</v>
      </c>
      <c r="K623" s="676">
        <f>(G623-D623)*20+I623-F623</f>
        <v>83</v>
      </c>
      <c r="L623" s="201">
        <v>3.8</v>
      </c>
      <c r="M623" s="199">
        <v>0.05</v>
      </c>
      <c r="N623" s="198"/>
      <c r="O623" s="197">
        <f>TRUNC(K623*L623*M623,3)</f>
        <v>15.77</v>
      </c>
      <c r="P623" s="202"/>
      <c r="Q623" s="199"/>
      <c r="R623" s="685">
        <f>O623</f>
        <v>15.77</v>
      </c>
      <c r="S623" s="201" t="s">
        <v>164</v>
      </c>
      <c r="T623" s="204">
        <v>10</v>
      </c>
      <c r="U623" s="205"/>
      <c r="V623" s="418" t="e">
        <f t="shared" si="70"/>
        <v>#REF!</v>
      </c>
      <c r="W623" s="222"/>
      <c r="X623" s="222"/>
      <c r="Y623" s="222"/>
      <c r="Z623" s="222"/>
      <c r="AA623" s="222"/>
    </row>
    <row r="624" spans="1:27" s="176" customFormat="1" ht="30">
      <c r="A624" s="1110"/>
      <c r="B624" s="296"/>
      <c r="C624" s="339" t="s">
        <v>345</v>
      </c>
      <c r="D624" s="623">
        <v>6</v>
      </c>
      <c r="E624" s="639" t="s">
        <v>299</v>
      </c>
      <c r="F624" s="625">
        <v>9</v>
      </c>
      <c r="G624" s="533">
        <v>7</v>
      </c>
      <c r="H624" s="459" t="s">
        <v>299</v>
      </c>
      <c r="I624" s="545">
        <v>4</v>
      </c>
      <c r="J624" s="340" t="s">
        <v>300</v>
      </c>
      <c r="K624" s="496">
        <f>(G624-D624)*20+I624-F624</f>
        <v>15</v>
      </c>
      <c r="L624" s="340">
        <v>3.8</v>
      </c>
      <c r="M624" s="463">
        <v>0.05</v>
      </c>
      <c r="N624" s="464"/>
      <c r="O624" s="560">
        <f>TRUNC(K624*L624*M624,3)</f>
        <v>2.85</v>
      </c>
      <c r="P624" s="461"/>
      <c r="Q624" s="463"/>
      <c r="R624" s="462">
        <f>O624</f>
        <v>2.85</v>
      </c>
      <c r="S624" s="340" t="s">
        <v>164</v>
      </c>
      <c r="T624" s="347">
        <v>12</v>
      </c>
      <c r="U624" s="435" t="s">
        <v>499</v>
      </c>
      <c r="V624" s="429" t="e">
        <f>#REF!</f>
        <v>#REF!</v>
      </c>
      <c r="W624" s="175"/>
      <c r="X624" s="175"/>
      <c r="Y624" s="175"/>
      <c r="Z624" s="175"/>
      <c r="AA624" s="175"/>
    </row>
    <row r="625" spans="1:27" s="176" customFormat="1" ht="30">
      <c r="A625" s="1110"/>
      <c r="B625" s="296"/>
      <c r="C625" s="339" t="s">
        <v>345</v>
      </c>
      <c r="D625" s="623">
        <f>G624</f>
        <v>7</v>
      </c>
      <c r="E625" s="639" t="s">
        <v>299</v>
      </c>
      <c r="F625" s="625">
        <f>I624</f>
        <v>4</v>
      </c>
      <c r="G625" s="533">
        <v>12</v>
      </c>
      <c r="H625" s="459" t="s">
        <v>299</v>
      </c>
      <c r="I625" s="545">
        <v>19</v>
      </c>
      <c r="J625" s="340" t="s">
        <v>300</v>
      </c>
      <c r="K625" s="496">
        <f>(G625-D625)*20+I625-F625</f>
        <v>115</v>
      </c>
      <c r="L625" s="340">
        <v>4.4000000000000004</v>
      </c>
      <c r="M625" s="463">
        <v>0.05</v>
      </c>
      <c r="N625" s="464"/>
      <c r="O625" s="560">
        <f>TRUNC(K625*L625*M625,3)</f>
        <v>25.3</v>
      </c>
      <c r="P625" s="461"/>
      <c r="Q625" s="463"/>
      <c r="R625" s="462">
        <f>O625</f>
        <v>25.3</v>
      </c>
      <c r="S625" s="340" t="s">
        <v>164</v>
      </c>
      <c r="T625" s="347">
        <v>21</v>
      </c>
      <c r="U625" s="435" t="s">
        <v>499</v>
      </c>
      <c r="V625" s="429" t="e">
        <f>#REF!</f>
        <v>#REF!</v>
      </c>
      <c r="W625" s="175"/>
      <c r="X625" s="175"/>
      <c r="Y625" s="175"/>
      <c r="Z625" s="175"/>
      <c r="AA625" s="175"/>
    </row>
    <row r="626" spans="1:27" s="765" customFormat="1">
      <c r="A626" s="1771"/>
      <c r="B626" s="767"/>
      <c r="C626" s="763" t="s">
        <v>1186</v>
      </c>
      <c r="D626" s="1402">
        <v>11</v>
      </c>
      <c r="E626" s="1403" t="s">
        <v>299</v>
      </c>
      <c r="F626" s="1404">
        <v>10</v>
      </c>
      <c r="G626" s="1402">
        <v>43</v>
      </c>
      <c r="H626" s="1403" t="s">
        <v>299</v>
      </c>
      <c r="I626" s="1404">
        <v>14</v>
      </c>
      <c r="J626" s="439" t="s">
        <v>1185</v>
      </c>
      <c r="K626" s="1511">
        <f>SUM(G626*20+I626)-(D626*20+F626)</f>
        <v>644</v>
      </c>
      <c r="L626" s="553"/>
      <c r="M626" s="553">
        <v>0.12</v>
      </c>
      <c r="N626" s="1512"/>
      <c r="O626" s="1561">
        <f>M626*K626</f>
        <v>77.28</v>
      </c>
      <c r="P626" s="440"/>
      <c r="Q626" s="439">
        <v>1</v>
      </c>
      <c r="R626" s="454">
        <f>Q626*O626</f>
        <v>77.28</v>
      </c>
      <c r="S626" s="438" t="s">
        <v>151</v>
      </c>
      <c r="T626" s="441">
        <v>28</v>
      </c>
      <c r="U626" s="1164" t="s">
        <v>1184</v>
      </c>
      <c r="V626" s="713" t="e">
        <f>V632</f>
        <v>#REF!</v>
      </c>
      <c r="W626" s="688"/>
      <c r="X626" s="688"/>
      <c r="Y626" s="688"/>
      <c r="Z626" s="688"/>
      <c r="AA626" s="688"/>
    </row>
    <row r="627" spans="1:27" s="176" customFormat="1">
      <c r="A627" s="1110"/>
      <c r="B627" s="1597"/>
      <c r="C627" s="1598"/>
      <c r="D627" s="1477"/>
      <c r="E627" s="1714"/>
      <c r="F627" s="1715"/>
      <c r="G627" s="1713"/>
      <c r="H627" s="1481"/>
      <c r="I627" s="1482"/>
      <c r="J627" s="360"/>
      <c r="K627" s="1710"/>
      <c r="L627" s="360"/>
      <c r="M627" s="360"/>
      <c r="N627" s="360"/>
      <c r="O627" s="1711"/>
      <c r="P627" s="1599"/>
      <c r="Q627" s="360"/>
      <c r="R627" s="1600"/>
      <c r="S627" s="360"/>
      <c r="T627" s="369"/>
      <c r="U627" s="1712"/>
      <c r="V627" s="429"/>
      <c r="W627" s="175"/>
      <c r="X627" s="175"/>
      <c r="Y627" s="175"/>
      <c r="Z627" s="175"/>
      <c r="AA627" s="175"/>
    </row>
    <row r="628" spans="1:27" s="40" customFormat="1">
      <c r="A628" s="1106"/>
      <c r="B628" s="239"/>
      <c r="C628" s="1603"/>
      <c r="D628" s="2527" t="s">
        <v>257</v>
      </c>
      <c r="E628" s="2528"/>
      <c r="F628" s="2528"/>
      <c r="G628" s="2528"/>
      <c r="H628" s="2528"/>
      <c r="I628" s="2529"/>
      <c r="J628" s="2668">
        <f>VLOOKUP(A630,'11 - FINANCEIRA'!_xlnm.Print_Area,30,FALSE)</f>
        <v>167.2</v>
      </c>
      <c r="K628" s="2669"/>
      <c r="L628" s="309" t="str">
        <f>VLOOKUP(A630,'11 - FINANCEIRA'!_xlnm.Print_Area,4,FALSE)</f>
        <v>m³</v>
      </c>
      <c r="M628" s="2556" t="s">
        <v>258</v>
      </c>
      <c r="N628" s="2557"/>
      <c r="O628" s="2557"/>
      <c r="P628" s="2557"/>
      <c r="Q628" s="2558"/>
      <c r="R628" s="248">
        <f>SUM(R622:R627)</f>
        <v>149.02300000000002</v>
      </c>
      <c r="S628" s="310" t="str">
        <f>L628</f>
        <v>m³</v>
      </c>
      <c r="T628" s="1638"/>
      <c r="U628" s="1639"/>
      <c r="V628" s="418">
        <f t="shared" si="70"/>
        <v>77.280000000000015</v>
      </c>
    </row>
    <row r="629" spans="1:27" s="40" customFormat="1">
      <c r="A629" s="1106"/>
      <c r="B629" s="1123"/>
      <c r="C629" s="2182"/>
      <c r="D629" s="2521" t="s">
        <v>259</v>
      </c>
      <c r="E629" s="2522"/>
      <c r="F629" s="2522"/>
      <c r="G629" s="2522"/>
      <c r="H629" s="2522"/>
      <c r="I629" s="2523"/>
      <c r="J629" s="2515">
        <f>R628/J628</f>
        <v>0.89128588516746432</v>
      </c>
      <c r="K629" s="2516"/>
      <c r="L629" s="2554"/>
      <c r="M629" s="2556" t="s">
        <v>260</v>
      </c>
      <c r="N629" s="2557"/>
      <c r="O629" s="2557"/>
      <c r="P629" s="2557"/>
      <c r="Q629" s="2558"/>
      <c r="R629" s="248">
        <f>VLOOKUP(A630,'11 - FINANCEIRA'!_xlnm.Print_Area,8,FALSE)</f>
        <v>71.743000000000009</v>
      </c>
      <c r="S629" s="249" t="str">
        <f>L628</f>
        <v>m³</v>
      </c>
      <c r="T629" s="789"/>
      <c r="U629" s="790"/>
      <c r="V629" s="418">
        <f t="shared" si="70"/>
        <v>77.280000000000015</v>
      </c>
    </row>
    <row r="630" spans="1:27" s="40" customFormat="1">
      <c r="A630" s="1106" t="s">
        <v>56</v>
      </c>
      <c r="B630" s="250"/>
      <c r="C630" s="598"/>
      <c r="D630" s="2539"/>
      <c r="E630" s="2540"/>
      <c r="F630" s="2540"/>
      <c r="G630" s="2540"/>
      <c r="H630" s="2540"/>
      <c r="I630" s="2541"/>
      <c r="J630" s="2517"/>
      <c r="K630" s="2518"/>
      <c r="L630" s="2555"/>
      <c r="M630" s="2556" t="s">
        <v>261</v>
      </c>
      <c r="N630" s="2557"/>
      <c r="O630" s="2557"/>
      <c r="P630" s="2557"/>
      <c r="Q630" s="2558"/>
      <c r="R630" s="248">
        <f>R628-R629</f>
        <v>77.280000000000015</v>
      </c>
      <c r="S630" s="249" t="str">
        <f>L628</f>
        <v>m³</v>
      </c>
      <c r="T630" s="791"/>
      <c r="U630" s="792"/>
      <c r="V630" s="418">
        <f>R630</f>
        <v>77.280000000000015</v>
      </c>
    </row>
    <row r="631" spans="1:27" s="326" customFormat="1" hidden="1">
      <c r="A631" s="1770"/>
      <c r="B631" s="2101"/>
      <c r="C631" s="2102"/>
      <c r="D631" s="2102"/>
      <c r="E631" s="2103"/>
      <c r="F631" s="2102"/>
      <c r="G631" s="2694"/>
      <c r="H631" s="2695"/>
      <c r="I631" s="2695"/>
      <c r="J631" s="2695"/>
      <c r="K631" s="2695"/>
      <c r="L631" s="2695"/>
      <c r="M631" s="2104"/>
      <c r="N631" s="2105"/>
      <c r="O631" s="2104"/>
      <c r="P631" s="2104"/>
      <c r="Q631" s="2104"/>
      <c r="R631" s="2104"/>
      <c r="S631" s="2104"/>
      <c r="T631" s="2104"/>
      <c r="U631" s="2106"/>
      <c r="V631" s="418" t="e">
        <f>SUM(V620:V630)</f>
        <v>#REF!</v>
      </c>
    </row>
    <row r="632" spans="1:27" s="176" customFormat="1">
      <c r="A632" s="1106"/>
      <c r="B632" s="2463">
        <f>VLOOKUP(A652,'11 - FINANCEIRA'!_xlnm.Print_Area,2,FALSE)</f>
        <v>1107890</v>
      </c>
      <c r="C632" s="2465" t="str">
        <f>VLOOKUP(A652,'11 - FINANCEIRA'!_xlnm.Print_Area,3,FALSE)</f>
        <v>Concreto fck = 30 MPa - confecção em central dosadora de 30 m³/h - areia e brita comerciais</v>
      </c>
      <c r="D632" s="2472" t="s">
        <v>242</v>
      </c>
      <c r="E632" s="2473"/>
      <c r="F632" s="2473"/>
      <c r="G632" s="2473"/>
      <c r="H632" s="2473"/>
      <c r="I632" s="2474"/>
      <c r="J632" s="2467" t="s">
        <v>243</v>
      </c>
      <c r="K632" s="2467" t="s">
        <v>244</v>
      </c>
      <c r="L632" s="2467" t="s">
        <v>245</v>
      </c>
      <c r="M632" s="2467" t="s">
        <v>343</v>
      </c>
      <c r="N632" s="2467" t="s">
        <v>968</v>
      </c>
      <c r="O632" s="2467" t="s">
        <v>248</v>
      </c>
      <c r="P632" s="173" t="s">
        <v>249</v>
      </c>
      <c r="Q632" s="2579" t="s">
        <v>659</v>
      </c>
      <c r="R632" s="2579" t="s">
        <v>139</v>
      </c>
      <c r="S632" s="2467" t="s">
        <v>251</v>
      </c>
      <c r="T632" s="2467" t="s">
        <v>252</v>
      </c>
      <c r="U632" s="2584" t="s">
        <v>253</v>
      </c>
      <c r="V632" s="418" t="e">
        <f>V633</f>
        <v>#REF!</v>
      </c>
      <c r="W632" s="175"/>
      <c r="X632" s="175"/>
      <c r="Y632" s="175"/>
      <c r="Z632" s="175"/>
      <c r="AA632" s="175"/>
    </row>
    <row r="633" spans="1:27" s="176" customFormat="1">
      <c r="A633" s="1106"/>
      <c r="B633" s="2464" t="e">
        <f>LEFT(#REF!,5)</f>
        <v>#REF!</v>
      </c>
      <c r="C633" s="2466" t="e">
        <f>VLOOKUP(LEFT(#REF!,5),'11 - FINANCEIRA'!_xlnm.Print_Area,2,FALSE)</f>
        <v>#REF!</v>
      </c>
      <c r="D633" s="2475" t="s">
        <v>254</v>
      </c>
      <c r="E633" s="2476"/>
      <c r="F633" s="2477"/>
      <c r="G633" s="2469" t="s">
        <v>255</v>
      </c>
      <c r="H633" s="2470"/>
      <c r="I633" s="2471"/>
      <c r="J633" s="2468"/>
      <c r="K633" s="2468"/>
      <c r="L633" s="2468"/>
      <c r="M633" s="2468"/>
      <c r="N633" s="2468"/>
      <c r="O633" s="2468"/>
      <c r="P633" s="177" t="s">
        <v>256</v>
      </c>
      <c r="Q633" s="2580"/>
      <c r="R633" s="2580"/>
      <c r="S633" s="2468"/>
      <c r="T633" s="2468"/>
      <c r="U633" s="2585"/>
      <c r="V633" s="418" t="e">
        <f>V634</f>
        <v>#REF!</v>
      </c>
      <c r="W633" s="175"/>
      <c r="X633" s="175"/>
      <c r="Y633" s="175"/>
      <c r="Z633" s="175"/>
      <c r="AA633" s="175"/>
    </row>
    <row r="634" spans="1:27" s="176" customFormat="1">
      <c r="A634" s="1110"/>
      <c r="B634" s="336"/>
      <c r="C634" s="266" t="s">
        <v>346</v>
      </c>
      <c r="D634" s="419">
        <v>-2</v>
      </c>
      <c r="E634" s="420" t="s">
        <v>299</v>
      </c>
      <c r="F634" s="421">
        <v>17.78</v>
      </c>
      <c r="G634" s="422">
        <v>2</v>
      </c>
      <c r="H634" s="423" t="s">
        <v>299</v>
      </c>
      <c r="I634" s="424">
        <v>11</v>
      </c>
      <c r="J634" s="489" t="s">
        <v>300</v>
      </c>
      <c r="K634" s="489">
        <f t="shared" ref="K634:K641" si="71">(G634-D634)*20+I634-F634</f>
        <v>73.22</v>
      </c>
      <c r="L634" s="489">
        <v>7.6</v>
      </c>
      <c r="M634" s="275">
        <v>0.15</v>
      </c>
      <c r="N634" s="275"/>
      <c r="O634" s="483">
        <f t="shared" ref="O634:O640" si="72">TRUNC(K634*L634*M634,3)</f>
        <v>83.47</v>
      </c>
      <c r="P634" s="338"/>
      <c r="Q634" s="275"/>
      <c r="R634" s="191">
        <f t="shared" ref="R634:R641" si="73">O634</f>
        <v>83.47</v>
      </c>
      <c r="S634" s="275" t="s">
        <v>164</v>
      </c>
      <c r="T634" s="276">
        <v>8</v>
      </c>
      <c r="U634" s="1555"/>
      <c r="V634" s="429" t="e">
        <f>V635</f>
        <v>#REF!</v>
      </c>
      <c r="W634" s="175"/>
      <c r="X634" s="175"/>
      <c r="Y634" s="175"/>
      <c r="Z634" s="175"/>
      <c r="AA634" s="175"/>
    </row>
    <row r="635" spans="1:27" s="686" customFormat="1">
      <c r="A635" s="1106"/>
      <c r="B635" s="195"/>
      <c r="C635" s="2022" t="s">
        <v>347</v>
      </c>
      <c r="D635" s="2221">
        <v>2</v>
      </c>
      <c r="E635" s="279" t="s">
        <v>299</v>
      </c>
      <c r="F635" s="2222">
        <v>11</v>
      </c>
      <c r="G635" s="678">
        <v>5</v>
      </c>
      <c r="H635" s="282" t="s">
        <v>299</v>
      </c>
      <c r="I635" s="679">
        <v>14</v>
      </c>
      <c r="J635" s="2025" t="s">
        <v>300</v>
      </c>
      <c r="K635" s="2221">
        <f t="shared" si="71"/>
        <v>63</v>
      </c>
      <c r="L635" s="2025">
        <v>3.8</v>
      </c>
      <c r="M635" s="2024">
        <v>0.15</v>
      </c>
      <c r="N635" s="279"/>
      <c r="O635" s="2023">
        <f t="shared" si="72"/>
        <v>35.909999999999997</v>
      </c>
      <c r="P635" s="2026"/>
      <c r="Q635" s="2024"/>
      <c r="R635" s="2027">
        <f t="shared" si="73"/>
        <v>35.909999999999997</v>
      </c>
      <c r="S635" s="2025" t="s">
        <v>164</v>
      </c>
      <c r="T635" s="2028">
        <v>10</v>
      </c>
      <c r="U635" s="753"/>
      <c r="V635" s="418" t="e">
        <f>V636</f>
        <v>#REF!</v>
      </c>
      <c r="W635" s="222"/>
      <c r="X635" s="222"/>
      <c r="Y635" s="222"/>
      <c r="Z635" s="222"/>
      <c r="AA635" s="222"/>
    </row>
    <row r="636" spans="1:27" s="176" customFormat="1" ht="30">
      <c r="A636" s="1110"/>
      <c r="B636" s="296"/>
      <c r="C636" s="339" t="s">
        <v>347</v>
      </c>
      <c r="D636" s="623">
        <v>6</v>
      </c>
      <c r="E636" s="639" t="s">
        <v>299</v>
      </c>
      <c r="F636" s="625">
        <v>9</v>
      </c>
      <c r="G636" s="533">
        <v>7</v>
      </c>
      <c r="H636" s="459" t="s">
        <v>299</v>
      </c>
      <c r="I636" s="545">
        <v>4</v>
      </c>
      <c r="J636" s="340" t="s">
        <v>300</v>
      </c>
      <c r="K636" s="496">
        <f t="shared" si="71"/>
        <v>15</v>
      </c>
      <c r="L636" s="340">
        <v>3.8</v>
      </c>
      <c r="M636" s="463">
        <v>0.12</v>
      </c>
      <c r="N636" s="464"/>
      <c r="O636" s="560">
        <f t="shared" si="72"/>
        <v>6.84</v>
      </c>
      <c r="P636" s="461"/>
      <c r="Q636" s="463"/>
      <c r="R636" s="462">
        <f t="shared" si="73"/>
        <v>6.84</v>
      </c>
      <c r="S636" s="340" t="s">
        <v>164</v>
      </c>
      <c r="T636" s="347">
        <v>12</v>
      </c>
      <c r="U636" s="435" t="s">
        <v>499</v>
      </c>
      <c r="V636" s="429" t="e">
        <f>#REF!</f>
        <v>#REF!</v>
      </c>
      <c r="W636" s="175"/>
      <c r="X636" s="175"/>
      <c r="Y636" s="175"/>
      <c r="Z636" s="175"/>
      <c r="AA636" s="175"/>
    </row>
    <row r="637" spans="1:27" s="176" customFormat="1" ht="30">
      <c r="A637" s="1110"/>
      <c r="B637" s="296"/>
      <c r="C637" s="1020" t="s">
        <v>340</v>
      </c>
      <c r="D637" s="496">
        <f>D625</f>
        <v>7</v>
      </c>
      <c r="E637" s="464" t="s">
        <v>299</v>
      </c>
      <c r="F637" s="498">
        <f>F625</f>
        <v>4</v>
      </c>
      <c r="G637" s="533">
        <v>12</v>
      </c>
      <c r="H637" s="459" t="s">
        <v>299</v>
      </c>
      <c r="I637" s="545">
        <v>19</v>
      </c>
      <c r="J637" s="340" t="s">
        <v>300</v>
      </c>
      <c r="K637" s="538">
        <f t="shared" si="71"/>
        <v>115</v>
      </c>
      <c r="L637" s="340">
        <v>4.4000000000000004</v>
      </c>
      <c r="M637" s="463">
        <v>0.2</v>
      </c>
      <c r="N637" s="464"/>
      <c r="O637" s="560">
        <f>TRUNC(K637*L637*M637,3)</f>
        <v>101.2</v>
      </c>
      <c r="P637" s="461"/>
      <c r="Q637" s="463"/>
      <c r="R637" s="462">
        <f t="shared" si="73"/>
        <v>101.2</v>
      </c>
      <c r="S637" s="340" t="s">
        <v>164</v>
      </c>
      <c r="T637" s="347">
        <v>21</v>
      </c>
      <c r="U637" s="435" t="s">
        <v>499</v>
      </c>
      <c r="V637" s="429" t="e">
        <f>#REF!</f>
        <v>#REF!</v>
      </c>
      <c r="W637" s="175"/>
      <c r="X637" s="175"/>
      <c r="Y637" s="175"/>
      <c r="Z637" s="175"/>
      <c r="AA637" s="175"/>
    </row>
    <row r="638" spans="1:27" s="176" customFormat="1">
      <c r="A638" s="1110"/>
      <c r="B638" s="296"/>
      <c r="C638" s="1020" t="s">
        <v>789</v>
      </c>
      <c r="D638" s="496">
        <v>8</v>
      </c>
      <c r="E638" s="464" t="s">
        <v>299</v>
      </c>
      <c r="F638" s="498">
        <v>10</v>
      </c>
      <c r="G638" s="533"/>
      <c r="H638" s="459"/>
      <c r="I638" s="545"/>
      <c r="J638" s="340" t="s">
        <v>300</v>
      </c>
      <c r="K638" s="623">
        <v>1.1000000000000001</v>
      </c>
      <c r="L638" s="340">
        <f>1.2*2</f>
        <v>2.4</v>
      </c>
      <c r="M638" s="463">
        <v>0.2</v>
      </c>
      <c r="N638" s="464"/>
      <c r="O638" s="560">
        <f>SUM(K638*2)*L638*M638</f>
        <v>1.056</v>
      </c>
      <c r="P638" s="461"/>
      <c r="Q638" s="463"/>
      <c r="R638" s="462">
        <f t="shared" si="73"/>
        <v>1.056</v>
      </c>
      <c r="S638" s="340" t="s">
        <v>164</v>
      </c>
      <c r="T638" s="347">
        <v>21</v>
      </c>
      <c r="U638" s="435" t="s">
        <v>790</v>
      </c>
      <c r="V638" s="429"/>
      <c r="W638" s="175"/>
      <c r="X638" s="175"/>
      <c r="Y638" s="175"/>
      <c r="Z638" s="175"/>
      <c r="AA638" s="175"/>
    </row>
    <row r="639" spans="1:27" s="176" customFormat="1">
      <c r="A639" s="1110"/>
      <c r="B639" s="296"/>
      <c r="C639" s="1020" t="s">
        <v>791</v>
      </c>
      <c r="D639" s="496">
        <v>9</v>
      </c>
      <c r="E639" s="464" t="s">
        <v>299</v>
      </c>
      <c r="F639" s="498">
        <v>8</v>
      </c>
      <c r="G639" s="533"/>
      <c r="H639" s="459"/>
      <c r="I639" s="545"/>
      <c r="J639" s="340" t="s">
        <v>300</v>
      </c>
      <c r="K639" s="538">
        <v>2.25</v>
      </c>
      <c r="L639" s="340">
        <f>1.2*2</f>
        <v>2.4</v>
      </c>
      <c r="M639" s="463">
        <v>0.2</v>
      </c>
      <c r="N639" s="464"/>
      <c r="O639" s="560">
        <f>SUM(K639*2)*L639*M639</f>
        <v>2.1599999999999997</v>
      </c>
      <c r="P639" s="461"/>
      <c r="Q639" s="463"/>
      <c r="R639" s="462">
        <f t="shared" si="73"/>
        <v>2.1599999999999997</v>
      </c>
      <c r="S639" s="340" t="s">
        <v>164</v>
      </c>
      <c r="T639" s="347">
        <v>21</v>
      </c>
      <c r="U639" s="435" t="s">
        <v>790</v>
      </c>
      <c r="V639" s="429"/>
      <c r="W639" s="175"/>
      <c r="X639" s="175"/>
      <c r="Y639" s="175"/>
      <c r="Z639" s="175"/>
      <c r="AA639" s="175"/>
    </row>
    <row r="640" spans="1:27" s="40" customFormat="1">
      <c r="A640" s="1110"/>
      <c r="B640" s="1008"/>
      <c r="C640" s="1020" t="s">
        <v>340</v>
      </c>
      <c r="D640" s="623">
        <v>8</v>
      </c>
      <c r="E640" s="535" t="s">
        <v>299</v>
      </c>
      <c r="F640" s="625">
        <v>10</v>
      </c>
      <c r="G640" s="455">
        <v>9</v>
      </c>
      <c r="H640" s="459" t="s">
        <v>299</v>
      </c>
      <c r="I640" s="457">
        <v>8</v>
      </c>
      <c r="J640" s="509" t="s">
        <v>300</v>
      </c>
      <c r="K640" s="538">
        <f t="shared" si="71"/>
        <v>18</v>
      </c>
      <c r="L640" s="509">
        <v>4.2</v>
      </c>
      <c r="M640" s="534">
        <v>0.2</v>
      </c>
      <c r="N640" s="535"/>
      <c r="O640" s="538">
        <f t="shared" si="72"/>
        <v>15.12</v>
      </c>
      <c r="P640" s="536"/>
      <c r="Q640" s="534"/>
      <c r="R640" s="462">
        <f t="shared" si="73"/>
        <v>15.12</v>
      </c>
      <c r="S640" s="509" t="s">
        <v>164</v>
      </c>
      <c r="T640" s="539">
        <v>21</v>
      </c>
      <c r="U640" s="492" t="s">
        <v>788</v>
      </c>
      <c r="V640" s="829" t="e">
        <f>#REF!</f>
        <v>#REF!</v>
      </c>
    </row>
    <row r="641" spans="1:27" s="40" customFormat="1">
      <c r="A641" s="1110"/>
      <c r="B641" s="1008"/>
      <c r="C641" s="1020" t="s">
        <v>792</v>
      </c>
      <c r="D641" s="623">
        <v>8</v>
      </c>
      <c r="E641" s="535" t="s">
        <v>299</v>
      </c>
      <c r="F641" s="625">
        <v>10</v>
      </c>
      <c r="G641" s="455">
        <v>9</v>
      </c>
      <c r="H641" s="459" t="s">
        <v>299</v>
      </c>
      <c r="I641" s="457">
        <v>6</v>
      </c>
      <c r="J641" s="509">
        <v>2</v>
      </c>
      <c r="K641" s="538">
        <f t="shared" si="71"/>
        <v>16</v>
      </c>
      <c r="L641" s="509">
        <v>0.6</v>
      </c>
      <c r="M641" s="534">
        <v>0.2</v>
      </c>
      <c r="N641" s="535"/>
      <c r="O641" s="538">
        <f>TRUNC(K641*L641*M641,3)</f>
        <v>1.92</v>
      </c>
      <c r="P641" s="536"/>
      <c r="Q641" s="534"/>
      <c r="R641" s="462">
        <f t="shared" si="73"/>
        <v>1.92</v>
      </c>
      <c r="S641" s="509" t="s">
        <v>164</v>
      </c>
      <c r="T641" s="539">
        <v>21</v>
      </c>
      <c r="U641" s="492"/>
      <c r="V641" s="829"/>
    </row>
    <row r="642" spans="1:27" s="176" customFormat="1">
      <c r="A642" s="1110"/>
      <c r="B642" s="296"/>
      <c r="C642" s="343" t="s">
        <v>611</v>
      </c>
      <c r="D642" s="1092">
        <v>27</v>
      </c>
      <c r="E642" s="1093" t="s">
        <v>299</v>
      </c>
      <c r="F642" s="1094">
        <v>0</v>
      </c>
      <c r="G642" s="1092">
        <v>31</v>
      </c>
      <c r="H642" s="1093" t="s">
        <v>299</v>
      </c>
      <c r="I642" s="1094">
        <v>12</v>
      </c>
      <c r="J642" s="434" t="s">
        <v>300</v>
      </c>
      <c r="K642" s="434">
        <f>(G642-D642)*20+I642-F642</f>
        <v>92</v>
      </c>
      <c r="L642" s="434">
        <v>3.2</v>
      </c>
      <c r="M642" s="434">
        <v>0.2</v>
      </c>
      <c r="N642" s="340"/>
      <c r="O642" s="650">
        <f>K642*L642*M642</f>
        <v>58.88000000000001</v>
      </c>
      <c r="P642" s="461"/>
      <c r="Q642" s="340"/>
      <c r="R642" s="462">
        <f>O642</f>
        <v>58.88000000000001</v>
      </c>
      <c r="S642" s="340" t="s">
        <v>164</v>
      </c>
      <c r="T642" s="347">
        <v>24</v>
      </c>
      <c r="U642" s="435" t="s">
        <v>812</v>
      </c>
      <c r="V642" s="306" t="e">
        <f t="shared" ref="V642:V648" si="74">V655</f>
        <v>#REF!</v>
      </c>
      <c r="W642" s="175"/>
      <c r="X642" s="175"/>
      <c r="Y642" s="175"/>
      <c r="Z642" s="175"/>
      <c r="AA642" s="175"/>
    </row>
    <row r="643" spans="1:27" s="176" customFormat="1">
      <c r="A643" s="1110"/>
      <c r="B643" s="296"/>
      <c r="C643" s="343" t="s">
        <v>967</v>
      </c>
      <c r="D643" s="1092">
        <v>25</v>
      </c>
      <c r="E643" s="1093" t="s">
        <v>299</v>
      </c>
      <c r="F643" s="1094">
        <v>16</v>
      </c>
      <c r="G643" s="1092"/>
      <c r="H643" s="1093"/>
      <c r="I643" s="1094"/>
      <c r="J643" s="434"/>
      <c r="K643" s="434"/>
      <c r="L643" s="434">
        <v>3.2</v>
      </c>
      <c r="M643" s="434">
        <v>0.2</v>
      </c>
      <c r="N643" s="434">
        <f>SUM(1.5+2.6)/2</f>
        <v>2.0499999999999998</v>
      </c>
      <c r="O643" s="650">
        <f>L643*N643*M643</f>
        <v>1.3120000000000001</v>
      </c>
      <c r="P643" s="461"/>
      <c r="Q643" s="1067"/>
      <c r="R643" s="462">
        <f>O643</f>
        <v>1.3120000000000001</v>
      </c>
      <c r="S643" s="340" t="s">
        <v>164</v>
      </c>
      <c r="T643" s="347">
        <v>24</v>
      </c>
      <c r="U643" s="435" t="s">
        <v>895</v>
      </c>
      <c r="V643" s="306" t="e">
        <f t="shared" si="74"/>
        <v>#REF!</v>
      </c>
      <c r="W643" s="175"/>
      <c r="X643" s="175"/>
      <c r="Y643" s="175"/>
      <c r="Z643" s="175"/>
      <c r="AA643" s="175"/>
    </row>
    <row r="644" spans="1:27" s="176" customFormat="1">
      <c r="A644" s="1110"/>
      <c r="B644" s="296"/>
      <c r="C644" s="343" t="s">
        <v>972</v>
      </c>
      <c r="D644" s="1092">
        <v>22</v>
      </c>
      <c r="E644" s="1093" t="s">
        <v>299</v>
      </c>
      <c r="F644" s="1094">
        <v>10</v>
      </c>
      <c r="G644" s="1092"/>
      <c r="H644" s="1093"/>
      <c r="I644" s="1094"/>
      <c r="J644" s="434"/>
      <c r="K644" s="434">
        <v>2</v>
      </c>
      <c r="L644" s="434">
        <v>3.4</v>
      </c>
      <c r="M644" s="434">
        <v>0.2</v>
      </c>
      <c r="N644" s="434"/>
      <c r="O644" s="650">
        <f>K644*L644*M644</f>
        <v>1.36</v>
      </c>
      <c r="P644" s="461"/>
      <c r="Q644" s="340"/>
      <c r="R644" s="462">
        <f>O644</f>
        <v>1.36</v>
      </c>
      <c r="S644" s="340" t="s">
        <v>164</v>
      </c>
      <c r="T644" s="347">
        <v>24</v>
      </c>
      <c r="U644" s="435" t="s">
        <v>976</v>
      </c>
      <c r="V644" s="306" t="e">
        <f t="shared" si="74"/>
        <v>#REF!</v>
      </c>
      <c r="W644" s="175"/>
      <c r="X644" s="175"/>
      <c r="Y644" s="175"/>
      <c r="Z644" s="175"/>
      <c r="AA644" s="175"/>
    </row>
    <row r="645" spans="1:27" s="176" customFormat="1">
      <c r="A645" s="1110"/>
      <c r="B645" s="296"/>
      <c r="C645" s="343" t="s">
        <v>973</v>
      </c>
      <c r="D645" s="1092"/>
      <c r="E645" s="1093"/>
      <c r="F645" s="1094"/>
      <c r="G645" s="1092"/>
      <c r="H645" s="1093"/>
      <c r="I645" s="1094"/>
      <c r="J645" s="434"/>
      <c r="K645" s="434">
        <v>2</v>
      </c>
      <c r="L645" s="434">
        <v>2</v>
      </c>
      <c r="M645" s="434">
        <v>0.2</v>
      </c>
      <c r="N645" s="434">
        <f>SUM(1.5+2.6)/2</f>
        <v>2.0499999999999998</v>
      </c>
      <c r="O645" s="650">
        <f>L645*N645*M645</f>
        <v>0.82</v>
      </c>
      <c r="P645" s="461"/>
      <c r="Q645" s="340"/>
      <c r="R645" s="462">
        <f>O645</f>
        <v>0.82</v>
      </c>
      <c r="S645" s="340" t="s">
        <v>164</v>
      </c>
      <c r="T645" s="347">
        <v>24</v>
      </c>
      <c r="U645" s="435" t="s">
        <v>977</v>
      </c>
      <c r="V645" s="306" t="e">
        <f t="shared" si="74"/>
        <v>#REF!</v>
      </c>
      <c r="W645" s="175"/>
      <c r="X645" s="175"/>
      <c r="Y645" s="175"/>
      <c r="Z645" s="175"/>
      <c r="AA645" s="175"/>
    </row>
    <row r="646" spans="1:27" s="176" customFormat="1" ht="30">
      <c r="A646" s="1110"/>
      <c r="B646" s="296"/>
      <c r="C646" s="343" t="s">
        <v>1039</v>
      </c>
      <c r="D646" s="1092"/>
      <c r="E646" s="1093"/>
      <c r="F646" s="1094"/>
      <c r="G646" s="1092"/>
      <c r="H646" s="1093"/>
      <c r="I646" s="1094"/>
      <c r="J646" s="434"/>
      <c r="K646" s="434">
        <v>2.5</v>
      </c>
      <c r="L646" s="434">
        <v>2.5</v>
      </c>
      <c r="M646" s="434">
        <v>0.2</v>
      </c>
      <c r="N646" s="434"/>
      <c r="O646" s="650">
        <f>K646*L646*M646</f>
        <v>1.25</v>
      </c>
      <c r="P646" s="461"/>
      <c r="Q646" s="340">
        <v>3</v>
      </c>
      <c r="R646" s="462">
        <f>O646*Q646</f>
        <v>3.75</v>
      </c>
      <c r="S646" s="340" t="s">
        <v>164</v>
      </c>
      <c r="T646" s="347">
        <v>25</v>
      </c>
      <c r="U646" s="508" t="s">
        <v>1040</v>
      </c>
      <c r="V646" s="306">
        <f t="shared" si="74"/>
        <v>0</v>
      </c>
      <c r="W646" s="175"/>
      <c r="X646" s="175"/>
      <c r="Y646" s="175"/>
      <c r="Z646" s="175"/>
      <c r="AA646" s="175"/>
    </row>
    <row r="647" spans="1:27" s="176" customFormat="1">
      <c r="A647" s="1110"/>
      <c r="B647" s="296"/>
      <c r="C647" s="343" t="s">
        <v>611</v>
      </c>
      <c r="D647" s="1092">
        <v>31</v>
      </c>
      <c r="E647" s="1093" t="s">
        <v>299</v>
      </c>
      <c r="F647" s="1094">
        <v>12</v>
      </c>
      <c r="G647" s="1092">
        <v>42</v>
      </c>
      <c r="H647" s="1093" t="s">
        <v>299</v>
      </c>
      <c r="I647" s="1094">
        <v>2</v>
      </c>
      <c r="J647" s="434" t="s">
        <v>300</v>
      </c>
      <c r="K647" s="434">
        <f>(G647-D647)*20+I647-F647</f>
        <v>210</v>
      </c>
      <c r="L647" s="434">
        <v>3.2</v>
      </c>
      <c r="M647" s="434">
        <v>0.2</v>
      </c>
      <c r="N647" s="340"/>
      <c r="O647" s="650">
        <f>K647*L647*M647</f>
        <v>134.4</v>
      </c>
      <c r="P647" s="461"/>
      <c r="Q647" s="340"/>
      <c r="R647" s="462">
        <f>O647</f>
        <v>134.4</v>
      </c>
      <c r="S647" s="340" t="s">
        <v>164</v>
      </c>
      <c r="T647" s="347">
        <v>27</v>
      </c>
      <c r="U647" s="435"/>
      <c r="V647" s="306" t="e">
        <f t="shared" si="74"/>
        <v>#REF!</v>
      </c>
      <c r="W647" s="175"/>
      <c r="X647" s="175"/>
      <c r="Y647" s="175"/>
      <c r="Z647" s="175"/>
      <c r="AA647" s="175"/>
    </row>
    <row r="648" spans="1:27" s="765" customFormat="1">
      <c r="A648" s="1771"/>
      <c r="B648" s="767"/>
      <c r="C648" s="763" t="s">
        <v>611</v>
      </c>
      <c r="D648" s="1402">
        <v>42</v>
      </c>
      <c r="E648" s="1403" t="s">
        <v>299</v>
      </c>
      <c r="F648" s="1404">
        <v>2</v>
      </c>
      <c r="G648" s="1402">
        <v>43</v>
      </c>
      <c r="H648" s="1403" t="s">
        <v>299</v>
      </c>
      <c r="I648" s="1404">
        <v>14</v>
      </c>
      <c r="J648" s="439" t="s">
        <v>300</v>
      </c>
      <c r="K648" s="439">
        <f>(G648-D648)*20+I648-F648</f>
        <v>32</v>
      </c>
      <c r="L648" s="439">
        <v>3.2</v>
      </c>
      <c r="M648" s="439">
        <v>0.2</v>
      </c>
      <c r="N648" s="438"/>
      <c r="O648" s="769">
        <f>K648*L648*M648</f>
        <v>20.480000000000004</v>
      </c>
      <c r="P648" s="453"/>
      <c r="Q648" s="438"/>
      <c r="R648" s="454">
        <f>O648</f>
        <v>20.480000000000004</v>
      </c>
      <c r="S648" s="438" t="s">
        <v>164</v>
      </c>
      <c r="T648" s="441">
        <v>28</v>
      </c>
      <c r="U648" s="1164"/>
      <c r="V648" s="713">
        <f t="shared" si="74"/>
        <v>0</v>
      </c>
      <c r="W648" s="688"/>
      <c r="X648" s="688"/>
      <c r="Y648" s="688"/>
      <c r="Z648" s="688"/>
      <c r="AA648" s="688"/>
    </row>
    <row r="649" spans="1:27" s="176" customFormat="1">
      <c r="A649" s="1110"/>
      <c r="B649" s="1126"/>
      <c r="C649" s="985"/>
      <c r="D649" s="1230"/>
      <c r="E649" s="1231"/>
      <c r="F649" s="1716"/>
      <c r="G649" s="1232"/>
      <c r="H649" s="1231"/>
      <c r="I649" s="1233"/>
      <c r="J649" s="1710"/>
      <c r="K649" s="1710"/>
      <c r="L649" s="1710"/>
      <c r="M649" s="1710"/>
      <c r="N649" s="1710"/>
      <c r="O649" s="1710"/>
      <c r="P649" s="1599"/>
      <c r="Q649" s="360"/>
      <c r="R649" s="1600"/>
      <c r="S649" s="360"/>
      <c r="T649" s="369"/>
      <c r="U649" s="1236"/>
      <c r="V649" s="306"/>
      <c r="W649" s="175"/>
      <c r="X649" s="175"/>
      <c r="Y649" s="175"/>
      <c r="Z649" s="175"/>
      <c r="AA649" s="175"/>
    </row>
    <row r="650" spans="1:27" s="40" customFormat="1">
      <c r="A650" s="1106"/>
      <c r="B650" s="239"/>
      <c r="C650" s="1603"/>
      <c r="D650" s="2527" t="s">
        <v>257</v>
      </c>
      <c r="E650" s="2528"/>
      <c r="F650" s="2528"/>
      <c r="G650" s="2528"/>
      <c r="H650" s="2528"/>
      <c r="I650" s="2529"/>
      <c r="J650" s="2490">
        <f>VLOOKUP(A652,'11 - FINANCEIRA'!$A$16:$AE$156,30,FALSE)</f>
        <v>501.6</v>
      </c>
      <c r="K650" s="2491"/>
      <c r="L650" s="309" t="str">
        <f>VLOOKUP(A652,'11 - FINANCEIRA'!_xlnm.Print_Area,4,FALSE)</f>
        <v>m³</v>
      </c>
      <c r="M650" s="2556" t="s">
        <v>258</v>
      </c>
      <c r="N650" s="2557"/>
      <c r="O650" s="2557"/>
      <c r="P650" s="2557"/>
      <c r="Q650" s="2558"/>
      <c r="R650" s="248">
        <f>SUM(R634:R648)</f>
        <v>468.67800000000011</v>
      </c>
      <c r="S650" s="310" t="str">
        <f>L650</f>
        <v>m³</v>
      </c>
      <c r="T650" s="321"/>
      <c r="U650" s="322"/>
      <c r="V650" s="418">
        <f>V651</f>
        <v>20.480000000000018</v>
      </c>
    </row>
    <row r="651" spans="1:27" s="40" customFormat="1">
      <c r="A651" s="1106"/>
      <c r="B651" s="1123"/>
      <c r="C651" s="2182"/>
      <c r="D651" s="2521" t="s">
        <v>259</v>
      </c>
      <c r="E651" s="2522"/>
      <c r="F651" s="2522"/>
      <c r="G651" s="2522"/>
      <c r="H651" s="2522"/>
      <c r="I651" s="2523"/>
      <c r="J651" s="2515">
        <f>R650/J650</f>
        <v>0.93436602870813412</v>
      </c>
      <c r="K651" s="2516"/>
      <c r="L651" s="2554"/>
      <c r="M651" s="2556" t="s">
        <v>260</v>
      </c>
      <c r="N651" s="2557"/>
      <c r="O651" s="2557"/>
      <c r="P651" s="2557"/>
      <c r="Q651" s="2558"/>
      <c r="R651" s="248">
        <f>VLOOKUP(A652,'11 - FINANCEIRA'!_xlnm.Print_Area,8,FALSE)</f>
        <v>448.19800000000009</v>
      </c>
      <c r="S651" s="249" t="str">
        <f>L650</f>
        <v>m³</v>
      </c>
      <c r="T651" s="244"/>
      <c r="U651" s="1124"/>
      <c r="V651" s="418">
        <f>V652</f>
        <v>20.480000000000018</v>
      </c>
    </row>
    <row r="652" spans="1:27" s="40" customFormat="1">
      <c r="A652" s="1106" t="s">
        <v>57</v>
      </c>
      <c r="B652" s="250"/>
      <c r="C652" s="598"/>
      <c r="D652" s="2539"/>
      <c r="E652" s="2540"/>
      <c r="F652" s="2540"/>
      <c r="G652" s="2540"/>
      <c r="H652" s="2540"/>
      <c r="I652" s="2541"/>
      <c r="J652" s="2517"/>
      <c r="K652" s="2518"/>
      <c r="L652" s="2555"/>
      <c r="M652" s="2556" t="s">
        <v>261</v>
      </c>
      <c r="N652" s="2557"/>
      <c r="O652" s="2557"/>
      <c r="P652" s="2557"/>
      <c r="Q652" s="2558"/>
      <c r="R652" s="248">
        <f>R650-R651</f>
        <v>20.480000000000018</v>
      </c>
      <c r="S652" s="249" t="str">
        <f>L650</f>
        <v>m³</v>
      </c>
      <c r="T652" s="562"/>
      <c r="U652" s="563"/>
      <c r="V652" s="418">
        <f>R652</f>
        <v>20.480000000000018</v>
      </c>
    </row>
    <row r="653" spans="1:27" s="40" customFormat="1" hidden="1">
      <c r="A653" s="1106"/>
      <c r="B653" s="2087"/>
      <c r="C653" s="2088"/>
      <c r="D653" s="2089"/>
      <c r="E653" s="2090"/>
      <c r="F653" s="2089"/>
      <c r="G653" s="2089"/>
      <c r="H653" s="2089"/>
      <c r="I653" s="2089"/>
      <c r="J653" s="2091"/>
      <c r="K653" s="2092"/>
      <c r="L653" s="2093"/>
      <c r="M653" s="2094"/>
      <c r="N653" s="2094"/>
      <c r="O653" s="2094"/>
      <c r="P653" s="2094"/>
      <c r="Q653" s="2094"/>
      <c r="R653" s="2095"/>
      <c r="S653" s="2096"/>
      <c r="T653" s="244"/>
      <c r="U653" s="1124"/>
      <c r="V653" s="418" t="e">
        <f>SUM(V632:V652)</f>
        <v>#REF!</v>
      </c>
    </row>
    <row r="654" spans="1:27" s="176" customFormat="1">
      <c r="A654" s="1106"/>
      <c r="B654" s="2463">
        <f>VLOOKUP(A668,'11 - FINANCEIRA'!_xlnm.Print_Area,2,FALSE)</f>
        <v>25950</v>
      </c>
      <c r="C654" s="2465" t="str">
        <f>VLOOKUP(A668,'11 - FINANCEIRA'!_xlnm.Print_Area,3,FALSE)</f>
        <v xml:space="preserve">Serviço de Bombeamento De Concreto </v>
      </c>
      <c r="D654" s="2472" t="s">
        <v>242</v>
      </c>
      <c r="E654" s="2473"/>
      <c r="F654" s="2473"/>
      <c r="G654" s="2473"/>
      <c r="H654" s="2473"/>
      <c r="I654" s="2474"/>
      <c r="J654" s="2467" t="s">
        <v>243</v>
      </c>
      <c r="K654" s="2467" t="s">
        <v>244</v>
      </c>
      <c r="L654" s="2467" t="s">
        <v>245</v>
      </c>
      <c r="M654" s="2467" t="s">
        <v>246</v>
      </c>
      <c r="N654" s="2467" t="s">
        <v>247</v>
      </c>
      <c r="O654" s="2467" t="s">
        <v>248</v>
      </c>
      <c r="P654" s="2467" t="s">
        <v>348</v>
      </c>
      <c r="Q654" s="2579" t="s">
        <v>250</v>
      </c>
      <c r="R654" s="2579" t="s">
        <v>139</v>
      </c>
      <c r="S654" s="2467" t="s">
        <v>251</v>
      </c>
      <c r="T654" s="2467" t="s">
        <v>252</v>
      </c>
      <c r="U654" s="2584" t="s">
        <v>253</v>
      </c>
      <c r="V654" s="418" t="e">
        <f t="shared" ref="V654:V667" si="75">V655</f>
        <v>#REF!</v>
      </c>
      <c r="W654" s="175"/>
      <c r="X654" s="175"/>
      <c r="Y654" s="175"/>
      <c r="Z654" s="175"/>
      <c r="AA654" s="175"/>
    </row>
    <row r="655" spans="1:27" s="176" customFormat="1">
      <c r="A655" s="1106"/>
      <c r="B655" s="2464" t="e">
        <f>LEFT(#REF!,5)</f>
        <v>#REF!</v>
      </c>
      <c r="C655" s="2466" t="e">
        <f>VLOOKUP(LEFT(#REF!,5),'11 - FINANCEIRA'!_xlnm.Print_Area,2,FALSE)</f>
        <v>#REF!</v>
      </c>
      <c r="D655" s="2475" t="s">
        <v>254</v>
      </c>
      <c r="E655" s="2476"/>
      <c r="F655" s="2477"/>
      <c r="G655" s="2469" t="s">
        <v>255</v>
      </c>
      <c r="H655" s="2470"/>
      <c r="I655" s="2471"/>
      <c r="J655" s="2468"/>
      <c r="K655" s="2468"/>
      <c r="L655" s="2468"/>
      <c r="M655" s="2468"/>
      <c r="N655" s="2468"/>
      <c r="O655" s="2468"/>
      <c r="P655" s="2468"/>
      <c r="Q655" s="2580"/>
      <c r="R655" s="2580"/>
      <c r="S655" s="2468"/>
      <c r="T655" s="2468"/>
      <c r="U655" s="2585"/>
      <c r="V655" s="418" t="e">
        <f t="shared" si="75"/>
        <v>#REF!</v>
      </c>
      <c r="W655" s="175"/>
      <c r="X655" s="175"/>
      <c r="Y655" s="175"/>
      <c r="Z655" s="175"/>
      <c r="AA655" s="175"/>
    </row>
    <row r="656" spans="1:27" s="176" customFormat="1">
      <c r="A656" s="1110"/>
      <c r="B656" s="336"/>
      <c r="C656" s="266" t="s">
        <v>349</v>
      </c>
      <c r="D656" s="419">
        <v>-2</v>
      </c>
      <c r="E656" s="420" t="s">
        <v>299</v>
      </c>
      <c r="F656" s="421">
        <v>17.78</v>
      </c>
      <c r="G656" s="422">
        <v>2</v>
      </c>
      <c r="H656" s="423" t="s">
        <v>299</v>
      </c>
      <c r="I656" s="424">
        <v>11</v>
      </c>
      <c r="J656" s="489" t="s">
        <v>300</v>
      </c>
      <c r="K656" s="489">
        <f>(G656-D656)*20+I656-F656</f>
        <v>73.22</v>
      </c>
      <c r="L656" s="489">
        <v>7.6</v>
      </c>
      <c r="M656" s="275">
        <v>0.15</v>
      </c>
      <c r="N656" s="275"/>
      <c r="O656" s="483">
        <f>TRUNC(K656*L656*M656,3)</f>
        <v>83.47</v>
      </c>
      <c r="P656" s="338"/>
      <c r="Q656" s="275"/>
      <c r="R656" s="191">
        <f t="shared" ref="R656:R663" si="76">O656</f>
        <v>83.47</v>
      </c>
      <c r="S656" s="275" t="s">
        <v>164</v>
      </c>
      <c r="T656" s="276">
        <v>8</v>
      </c>
      <c r="U656" s="1555"/>
      <c r="V656" s="429" t="e">
        <f t="shared" si="75"/>
        <v>#REF!</v>
      </c>
      <c r="W656" s="175"/>
      <c r="X656" s="175"/>
      <c r="Y656" s="175"/>
      <c r="Z656" s="175"/>
      <c r="AA656" s="175"/>
    </row>
    <row r="657" spans="1:27" s="686" customFormat="1">
      <c r="A657" s="1106"/>
      <c r="B657" s="793"/>
      <c r="C657" s="2022" t="s">
        <v>350</v>
      </c>
      <c r="D657" s="2221">
        <v>2</v>
      </c>
      <c r="E657" s="279" t="s">
        <v>299</v>
      </c>
      <c r="F657" s="2222">
        <v>11</v>
      </c>
      <c r="G657" s="678">
        <v>5</v>
      </c>
      <c r="H657" s="282" t="s">
        <v>299</v>
      </c>
      <c r="I657" s="679">
        <v>14</v>
      </c>
      <c r="J657" s="2025" t="s">
        <v>300</v>
      </c>
      <c r="K657" s="2221">
        <f>(G657-D657)*20+I657-F657</f>
        <v>63</v>
      </c>
      <c r="L657" s="2025">
        <v>3.8</v>
      </c>
      <c r="M657" s="2024">
        <v>0.15</v>
      </c>
      <c r="N657" s="279"/>
      <c r="O657" s="2023">
        <f>TRUNC(K657*L657*M657,3)</f>
        <v>35.909999999999997</v>
      </c>
      <c r="P657" s="2026"/>
      <c r="Q657" s="2024"/>
      <c r="R657" s="2027">
        <f t="shared" si="76"/>
        <v>35.909999999999997</v>
      </c>
      <c r="S657" s="2025" t="s">
        <v>164</v>
      </c>
      <c r="T657" s="2028">
        <v>10</v>
      </c>
      <c r="U657" s="753"/>
      <c r="V657" s="418" t="e">
        <f t="shared" si="75"/>
        <v>#REF!</v>
      </c>
      <c r="W657" s="222"/>
      <c r="X657" s="222"/>
      <c r="Y657" s="222"/>
      <c r="Z657" s="222"/>
      <c r="AA657" s="222"/>
    </row>
    <row r="658" spans="1:27" s="176" customFormat="1" ht="30">
      <c r="A658" s="1110"/>
      <c r="B658" s="296"/>
      <c r="C658" s="339" t="s">
        <v>350</v>
      </c>
      <c r="D658" s="623">
        <v>6</v>
      </c>
      <c r="E658" s="639" t="s">
        <v>299</v>
      </c>
      <c r="F658" s="625">
        <v>9</v>
      </c>
      <c r="G658" s="533">
        <v>7</v>
      </c>
      <c r="H658" s="459" t="s">
        <v>299</v>
      </c>
      <c r="I658" s="545">
        <v>4</v>
      </c>
      <c r="J658" s="340" t="s">
        <v>300</v>
      </c>
      <c r="K658" s="496">
        <f>(G658-D658)*20+I658-F658</f>
        <v>15</v>
      </c>
      <c r="L658" s="340">
        <v>3.8</v>
      </c>
      <c r="M658" s="463">
        <v>0.15</v>
      </c>
      <c r="N658" s="340"/>
      <c r="O658" s="201">
        <f>TRUNC(K658*L658*M658,3)</f>
        <v>8.5500000000000007</v>
      </c>
      <c r="P658" s="461"/>
      <c r="Q658" s="340"/>
      <c r="R658" s="462">
        <f t="shared" si="76"/>
        <v>8.5500000000000007</v>
      </c>
      <c r="S658" s="340" t="s">
        <v>164</v>
      </c>
      <c r="T658" s="347">
        <v>12</v>
      </c>
      <c r="U658" s="435" t="s">
        <v>499</v>
      </c>
      <c r="V658" s="429" t="e">
        <f>#REF!</f>
        <v>#REF!</v>
      </c>
      <c r="W658" s="175"/>
      <c r="X658" s="175"/>
      <c r="Y658" s="175"/>
      <c r="Z658" s="175"/>
      <c r="AA658" s="175"/>
    </row>
    <row r="659" spans="1:27" s="176" customFormat="1" ht="30">
      <c r="A659" s="1110"/>
      <c r="B659" s="296"/>
      <c r="C659" s="339" t="s">
        <v>350</v>
      </c>
      <c r="D659" s="623">
        <v>7</v>
      </c>
      <c r="E659" s="639" t="s">
        <v>299</v>
      </c>
      <c r="F659" s="625">
        <v>4</v>
      </c>
      <c r="G659" s="533">
        <v>11</v>
      </c>
      <c r="H659" s="459" t="s">
        <v>299</v>
      </c>
      <c r="I659" s="545">
        <v>11</v>
      </c>
      <c r="J659" s="340" t="s">
        <v>300</v>
      </c>
      <c r="K659" s="496">
        <f>(G659-D659)*20+I659-F659</f>
        <v>87</v>
      </c>
      <c r="L659" s="340"/>
      <c r="M659" s="463"/>
      <c r="N659" s="340"/>
      <c r="O659" s="1067">
        <f>SUM(O637:O640)</f>
        <v>119.536</v>
      </c>
      <c r="P659" s="461"/>
      <c r="Q659" s="340"/>
      <c r="R659" s="462">
        <f t="shared" si="76"/>
        <v>119.536</v>
      </c>
      <c r="S659" s="340" t="s">
        <v>164</v>
      </c>
      <c r="T659" s="347">
        <v>21</v>
      </c>
      <c r="U659" s="435" t="s">
        <v>499</v>
      </c>
      <c r="V659" s="429"/>
      <c r="W659" s="175"/>
      <c r="X659" s="175"/>
      <c r="Y659" s="175"/>
      <c r="Z659" s="175"/>
      <c r="AA659" s="175"/>
    </row>
    <row r="660" spans="1:27" s="176" customFormat="1">
      <c r="A660" s="1110"/>
      <c r="B660" s="296"/>
      <c r="C660" s="343" t="s">
        <v>611</v>
      </c>
      <c r="D660" s="1092">
        <v>27</v>
      </c>
      <c r="E660" s="1093" t="s">
        <v>299</v>
      </c>
      <c r="F660" s="1094">
        <v>0</v>
      </c>
      <c r="G660" s="1092">
        <v>31</v>
      </c>
      <c r="H660" s="1093" t="s">
        <v>299</v>
      </c>
      <c r="I660" s="1094">
        <v>12</v>
      </c>
      <c r="J660" s="434" t="s">
        <v>300</v>
      </c>
      <c r="K660" s="434">
        <f>(G660-D660)*20+I660-F660</f>
        <v>92</v>
      </c>
      <c r="L660" s="434">
        <v>3.2</v>
      </c>
      <c r="M660" s="434">
        <v>0.2</v>
      </c>
      <c r="N660" s="340"/>
      <c r="O660" s="650">
        <f>K660*L660*M660</f>
        <v>58.88000000000001</v>
      </c>
      <c r="P660" s="461"/>
      <c r="Q660" s="340"/>
      <c r="R660" s="462">
        <f t="shared" si="76"/>
        <v>58.88000000000001</v>
      </c>
      <c r="S660" s="340" t="s">
        <v>164</v>
      </c>
      <c r="T660" s="347">
        <v>24</v>
      </c>
      <c r="U660" s="435"/>
      <c r="V660" s="306" t="e">
        <f>V669</f>
        <v>#REF!</v>
      </c>
      <c r="W660" s="175"/>
      <c r="X660" s="175"/>
      <c r="Y660" s="175"/>
      <c r="Z660" s="175"/>
      <c r="AA660" s="175"/>
    </row>
    <row r="661" spans="1:27" s="176" customFormat="1">
      <c r="A661" s="1110"/>
      <c r="B661" s="296"/>
      <c r="C661" s="343" t="s">
        <v>967</v>
      </c>
      <c r="D661" s="1092">
        <v>25</v>
      </c>
      <c r="E661" s="1093" t="s">
        <v>299</v>
      </c>
      <c r="F661" s="1094">
        <v>16</v>
      </c>
      <c r="G661" s="1092"/>
      <c r="H661" s="1093"/>
      <c r="I661" s="1094"/>
      <c r="J661" s="434"/>
      <c r="K661" s="434"/>
      <c r="L661" s="434">
        <v>3.2</v>
      </c>
      <c r="M661" s="434">
        <v>0.2</v>
      </c>
      <c r="N661" s="434">
        <f>SUM(1.5+2.6)/2</f>
        <v>2.0499999999999998</v>
      </c>
      <c r="O661" s="650">
        <f>L661*N661*M661</f>
        <v>1.3120000000000001</v>
      </c>
      <c r="P661" s="461"/>
      <c r="Q661" s="340"/>
      <c r="R661" s="462">
        <f t="shared" si="76"/>
        <v>1.3120000000000001</v>
      </c>
      <c r="S661" s="340" t="s">
        <v>164</v>
      </c>
      <c r="T661" s="347">
        <v>24</v>
      </c>
      <c r="U661" s="435" t="s">
        <v>971</v>
      </c>
      <c r="V661" s="306">
        <f>V670</f>
        <v>0</v>
      </c>
      <c r="W661" s="175"/>
      <c r="X661" s="175"/>
      <c r="Y661" s="175"/>
      <c r="Z661" s="175"/>
      <c r="AA661" s="175"/>
    </row>
    <row r="662" spans="1:27" s="176" customFormat="1">
      <c r="A662" s="1110"/>
      <c r="B662" s="296"/>
      <c r="C662" s="343" t="s">
        <v>972</v>
      </c>
      <c r="D662" s="1092">
        <v>22</v>
      </c>
      <c r="E662" s="1093" t="s">
        <v>299</v>
      </c>
      <c r="F662" s="1094">
        <v>10</v>
      </c>
      <c r="G662" s="1092"/>
      <c r="H662" s="1093"/>
      <c r="I662" s="1094"/>
      <c r="J662" s="434"/>
      <c r="K662" s="434">
        <v>2</v>
      </c>
      <c r="L662" s="434">
        <v>3.4</v>
      </c>
      <c r="M662" s="434">
        <v>0.2</v>
      </c>
      <c r="N662" s="434"/>
      <c r="O662" s="650">
        <f>K662*L662*M662</f>
        <v>1.36</v>
      </c>
      <c r="P662" s="461"/>
      <c r="Q662" s="340"/>
      <c r="R662" s="462">
        <f t="shared" si="76"/>
        <v>1.36</v>
      </c>
      <c r="S662" s="340" t="s">
        <v>164</v>
      </c>
      <c r="T662" s="347">
        <v>24</v>
      </c>
      <c r="U662" s="435" t="s">
        <v>969</v>
      </c>
      <c r="V662" s="306">
        <f>V671</f>
        <v>0</v>
      </c>
      <c r="W662" s="175"/>
      <c r="X662" s="175"/>
      <c r="Y662" s="175"/>
      <c r="Z662" s="175"/>
      <c r="AA662" s="175"/>
    </row>
    <row r="663" spans="1:27" s="176" customFormat="1">
      <c r="A663" s="1110"/>
      <c r="B663" s="296"/>
      <c r="C663" s="343" t="s">
        <v>973</v>
      </c>
      <c r="D663" s="1092"/>
      <c r="E663" s="1093"/>
      <c r="F663" s="1094"/>
      <c r="G663" s="1092"/>
      <c r="H663" s="1093"/>
      <c r="I663" s="1094"/>
      <c r="J663" s="434"/>
      <c r="K663" s="434">
        <v>2</v>
      </c>
      <c r="L663" s="434">
        <v>2</v>
      </c>
      <c r="M663" s="434">
        <v>0.2</v>
      </c>
      <c r="N663" s="434">
        <f>SUM(1.5+2.6)/2</f>
        <v>2.0499999999999998</v>
      </c>
      <c r="O663" s="650">
        <f>L663*N663*M663</f>
        <v>0.82</v>
      </c>
      <c r="P663" s="461"/>
      <c r="Q663" s="340"/>
      <c r="R663" s="462">
        <f t="shared" si="76"/>
        <v>0.82</v>
      </c>
      <c r="S663" s="340" t="s">
        <v>164</v>
      </c>
      <c r="T663" s="347">
        <v>24</v>
      </c>
      <c r="U663" s="435" t="s">
        <v>970</v>
      </c>
      <c r="V663" s="306">
        <f>V672</f>
        <v>0</v>
      </c>
      <c r="W663" s="175"/>
      <c r="X663" s="175"/>
      <c r="Y663" s="175"/>
      <c r="Z663" s="175"/>
      <c r="AA663" s="175"/>
    </row>
    <row r="664" spans="1:27" s="176" customFormat="1">
      <c r="A664" s="1110"/>
      <c r="B664" s="296"/>
      <c r="C664" s="343" t="s">
        <v>611</v>
      </c>
      <c r="D664" s="1092">
        <v>31</v>
      </c>
      <c r="E664" s="1093" t="s">
        <v>299</v>
      </c>
      <c r="F664" s="1094">
        <v>12</v>
      </c>
      <c r="G664" s="1092">
        <v>42</v>
      </c>
      <c r="H664" s="1093" t="s">
        <v>299</v>
      </c>
      <c r="I664" s="1094">
        <v>2</v>
      </c>
      <c r="J664" s="434" t="s">
        <v>300</v>
      </c>
      <c r="K664" s="434">
        <f>(G664-D664)*20+I664-F664</f>
        <v>210</v>
      </c>
      <c r="L664" s="434">
        <v>3.2</v>
      </c>
      <c r="M664" s="434">
        <v>0.2</v>
      </c>
      <c r="N664" s="340"/>
      <c r="O664" s="650">
        <f>K664*L664*M664</f>
        <v>134.4</v>
      </c>
      <c r="P664" s="461"/>
      <c r="Q664" s="340"/>
      <c r="R664" s="462">
        <f>O664</f>
        <v>134.4</v>
      </c>
      <c r="S664" s="340" t="s">
        <v>164</v>
      </c>
      <c r="T664" s="347">
        <v>27</v>
      </c>
      <c r="U664" s="435"/>
      <c r="V664" s="306">
        <f>V677</f>
        <v>0</v>
      </c>
      <c r="W664" s="175"/>
      <c r="X664" s="175"/>
      <c r="Y664" s="175"/>
      <c r="Z664" s="175"/>
      <c r="AA664" s="175"/>
    </row>
    <row r="665" spans="1:27" s="765" customFormat="1">
      <c r="A665" s="1771"/>
      <c r="B665" s="1515"/>
      <c r="C665" s="1640" t="s">
        <v>611</v>
      </c>
      <c r="D665" s="1641">
        <v>42</v>
      </c>
      <c r="E665" s="1642" t="s">
        <v>299</v>
      </c>
      <c r="F665" s="1643">
        <v>2</v>
      </c>
      <c r="G665" s="1641">
        <v>43</v>
      </c>
      <c r="H665" s="1642" t="s">
        <v>299</v>
      </c>
      <c r="I665" s="1643">
        <v>14</v>
      </c>
      <c r="J665" s="871" t="s">
        <v>300</v>
      </c>
      <c r="K665" s="871">
        <f>(G665-D665)*20+I665-F665</f>
        <v>32</v>
      </c>
      <c r="L665" s="871">
        <v>3.2</v>
      </c>
      <c r="M665" s="871">
        <v>0.2</v>
      </c>
      <c r="N665" s="760"/>
      <c r="O665" s="1644">
        <f>K665*L665*M665</f>
        <v>20.480000000000004</v>
      </c>
      <c r="P665" s="873"/>
      <c r="Q665" s="760"/>
      <c r="R665" s="962">
        <f>O665</f>
        <v>20.480000000000004</v>
      </c>
      <c r="S665" s="760" t="s">
        <v>164</v>
      </c>
      <c r="T665" s="874">
        <v>28</v>
      </c>
      <c r="U665" s="768"/>
      <c r="V665" s="713">
        <f>V678</f>
        <v>0</v>
      </c>
      <c r="W665" s="688"/>
      <c r="X665" s="688"/>
      <c r="Y665" s="688"/>
      <c r="Z665" s="688"/>
      <c r="AA665" s="688"/>
    </row>
    <row r="666" spans="1:27" s="40" customFormat="1">
      <c r="A666" s="1106"/>
      <c r="B666" s="239"/>
      <c r="C666" s="1603"/>
      <c r="D666" s="2527" t="s">
        <v>257</v>
      </c>
      <c r="E666" s="2528"/>
      <c r="F666" s="2528"/>
      <c r="G666" s="2528"/>
      <c r="H666" s="2528"/>
      <c r="I666" s="2529"/>
      <c r="J666" s="2490">
        <f>VLOOKUP(A668,'11 - FINANCEIRA'!$A$16:$AE$156,30,FALSE)</f>
        <v>501.6</v>
      </c>
      <c r="K666" s="2491"/>
      <c r="L666" s="309" t="str">
        <f>VLOOKUP(A668,'11 - FINANCEIRA'!_xlnm.Print_Area,4,FALSE)</f>
        <v>m³</v>
      </c>
      <c r="M666" s="2556" t="s">
        <v>258</v>
      </c>
      <c r="N666" s="2557"/>
      <c r="O666" s="2557"/>
      <c r="P666" s="2557"/>
      <c r="Q666" s="2558"/>
      <c r="R666" s="248">
        <f>SUM(R656:R665)</f>
        <v>464.71800000000007</v>
      </c>
      <c r="S666" s="310" t="str">
        <f>L666</f>
        <v>m³</v>
      </c>
      <c r="T666" s="321"/>
      <c r="U666" s="322"/>
      <c r="V666" s="418">
        <f t="shared" si="75"/>
        <v>20.480000000000018</v>
      </c>
    </row>
    <row r="667" spans="1:27" s="40" customFormat="1">
      <c r="A667" s="1106"/>
      <c r="B667" s="1123"/>
      <c r="C667" s="2182"/>
      <c r="D667" s="2521" t="s">
        <v>259</v>
      </c>
      <c r="E667" s="2522"/>
      <c r="F667" s="2522"/>
      <c r="G667" s="2522"/>
      <c r="H667" s="2522"/>
      <c r="I667" s="2523"/>
      <c r="J667" s="2515">
        <f>R666/J666</f>
        <v>0.92647129186602883</v>
      </c>
      <c r="K667" s="2516"/>
      <c r="L667" s="2554"/>
      <c r="M667" s="2691" t="s">
        <v>260</v>
      </c>
      <c r="N667" s="2692"/>
      <c r="O667" s="2692"/>
      <c r="P667" s="2692"/>
      <c r="Q667" s="2693"/>
      <c r="R667" s="248">
        <f>VLOOKUP(A668,'11 - FINANCEIRA'!_xlnm.Print_Area,8,FALSE)</f>
        <v>444.23800000000006</v>
      </c>
      <c r="S667" s="249" t="str">
        <f>L666</f>
        <v>m³</v>
      </c>
      <c r="T667" s="244"/>
      <c r="U667" s="1124"/>
      <c r="V667" s="418">
        <f t="shared" si="75"/>
        <v>20.480000000000018</v>
      </c>
    </row>
    <row r="668" spans="1:27" s="40" customFormat="1">
      <c r="A668" s="1106" t="s">
        <v>58</v>
      </c>
      <c r="B668" s="250"/>
      <c r="C668" s="598"/>
      <c r="D668" s="2539"/>
      <c r="E668" s="2540"/>
      <c r="F668" s="2540"/>
      <c r="G668" s="2540"/>
      <c r="H668" s="2540"/>
      <c r="I668" s="2541"/>
      <c r="J668" s="2517"/>
      <c r="K668" s="2518"/>
      <c r="L668" s="2555"/>
      <c r="M668" s="2556" t="s">
        <v>261</v>
      </c>
      <c r="N668" s="2557"/>
      <c r="O668" s="2557"/>
      <c r="P668" s="2557"/>
      <c r="Q668" s="2558"/>
      <c r="R668" s="248">
        <f>R666-R667</f>
        <v>20.480000000000018</v>
      </c>
      <c r="S668" s="249" t="str">
        <f>L666</f>
        <v>m³</v>
      </c>
      <c r="T668" s="562"/>
      <c r="U668" s="563"/>
      <c r="V668" s="418">
        <f>R668</f>
        <v>20.480000000000018</v>
      </c>
    </row>
    <row r="669" spans="1:27" s="40" customFormat="1" hidden="1">
      <c r="A669" s="1106"/>
      <c r="B669" s="253"/>
      <c r="C669" s="2062"/>
      <c r="D669" s="2063"/>
      <c r="E669" s="2064"/>
      <c r="F669" s="2063"/>
      <c r="G669" s="2063"/>
      <c r="H669" s="2063"/>
      <c r="I669" s="2063"/>
      <c r="J669" s="2065"/>
      <c r="K669" s="2066"/>
      <c r="L669" s="2067"/>
      <c r="M669" s="2068"/>
      <c r="N669" s="2068"/>
      <c r="O669" s="2068"/>
      <c r="P669" s="2068"/>
      <c r="Q669" s="2068"/>
      <c r="R669" s="2069"/>
      <c r="S669" s="2070"/>
      <c r="T669" s="562"/>
      <c r="U669" s="563"/>
      <c r="V669" s="418" t="e">
        <f>SUM(V654:V668)</f>
        <v>#REF!</v>
      </c>
    </row>
    <row r="670" spans="1:27" s="176" customFormat="1" hidden="1">
      <c r="A670" s="1106"/>
      <c r="B670" s="2463" t="str">
        <f>VLOOKUP(A678,'11 - FINANCEIRA'!_xlnm.Print_Area,2,FALSE)</f>
        <v>3762-S160326</v>
      </c>
      <c r="C670" s="2465" t="str">
        <f>VLOOKUP(A678,'11 - FINANCEIRA'!_xlnm.Print_Area,3,FALSE)</f>
        <v>Barra chata em qualquer dimensão</v>
      </c>
      <c r="D670" s="2472" t="s">
        <v>242</v>
      </c>
      <c r="E670" s="2473"/>
      <c r="F670" s="2473"/>
      <c r="G670" s="2473"/>
      <c r="H670" s="2473"/>
      <c r="I670" s="2474"/>
      <c r="J670" s="2467" t="s">
        <v>243</v>
      </c>
      <c r="K670" s="2467" t="s">
        <v>244</v>
      </c>
      <c r="L670" s="2467" t="s">
        <v>245</v>
      </c>
      <c r="M670" s="2467" t="s">
        <v>246</v>
      </c>
      <c r="N670" s="2467" t="s">
        <v>247</v>
      </c>
      <c r="O670" s="2467" t="s">
        <v>248</v>
      </c>
      <c r="P670" s="173" t="s">
        <v>249</v>
      </c>
      <c r="Q670" s="2467" t="s">
        <v>250</v>
      </c>
      <c r="R670" s="2579" t="s">
        <v>139</v>
      </c>
      <c r="S670" s="2467" t="s">
        <v>251</v>
      </c>
      <c r="T670" s="2467" t="s">
        <v>252</v>
      </c>
      <c r="U670" s="2584" t="s">
        <v>253</v>
      </c>
      <c r="V670" s="418">
        <f t="shared" ref="V670:V677" si="77">V671</f>
        <v>0</v>
      </c>
      <c r="W670" s="175"/>
      <c r="X670" s="175"/>
      <c r="Y670" s="175"/>
      <c r="Z670" s="175"/>
      <c r="AA670" s="175"/>
    </row>
    <row r="671" spans="1:27" s="176" customFormat="1" hidden="1">
      <c r="A671" s="1106"/>
      <c r="B671" s="2640" t="e">
        <f>LEFT(#REF!,5)</f>
        <v>#REF!</v>
      </c>
      <c r="C671" s="2690" t="e">
        <f>VLOOKUP(LEFT(#REF!,5),'11 - FINANCEIRA'!_xlnm.Print_Area,2,FALSE)</f>
        <v>#REF!</v>
      </c>
      <c r="D671" s="2634" t="s">
        <v>254</v>
      </c>
      <c r="E671" s="2635"/>
      <c r="F671" s="2636"/>
      <c r="G671" s="2637" t="s">
        <v>255</v>
      </c>
      <c r="H671" s="2638"/>
      <c r="I671" s="2639"/>
      <c r="J671" s="2632"/>
      <c r="K671" s="2632"/>
      <c r="L671" s="2632"/>
      <c r="M671" s="2632"/>
      <c r="N671" s="2632"/>
      <c r="O671" s="2632"/>
      <c r="P671" s="838" t="s">
        <v>256</v>
      </c>
      <c r="Q671" s="2632"/>
      <c r="R671" s="2631"/>
      <c r="S671" s="2632"/>
      <c r="T671" s="2632"/>
      <c r="U671" s="2633"/>
      <c r="V671" s="418">
        <f t="shared" si="77"/>
        <v>0</v>
      </c>
      <c r="W671" s="175"/>
      <c r="X671" s="175"/>
      <c r="Y671" s="175"/>
      <c r="Z671" s="175"/>
      <c r="AA671" s="175"/>
    </row>
    <row r="672" spans="1:27" s="686" customFormat="1" hidden="1">
      <c r="A672" s="1106"/>
      <c r="B672" s="195"/>
      <c r="C672" s="196" t="s">
        <v>194</v>
      </c>
      <c r="D672" s="197"/>
      <c r="E672" s="198"/>
      <c r="F672" s="199"/>
      <c r="G672" s="795"/>
      <c r="H672" s="200"/>
      <c r="I672" s="796"/>
      <c r="J672" s="201"/>
      <c r="K672" s="201"/>
      <c r="L672" s="201"/>
      <c r="M672" s="201"/>
      <c r="N672" s="201"/>
      <c r="O672" s="201"/>
      <c r="P672" s="202"/>
      <c r="Q672" s="201"/>
      <c r="R672" s="685">
        <v>2403</v>
      </c>
      <c r="S672" s="201" t="s">
        <v>195</v>
      </c>
      <c r="T672" s="204">
        <v>10</v>
      </c>
      <c r="U672" s="681" t="s">
        <v>711</v>
      </c>
      <c r="V672" s="418">
        <f t="shared" si="77"/>
        <v>0</v>
      </c>
      <c r="W672" s="222"/>
      <c r="X672" s="222"/>
      <c r="Y672" s="222"/>
      <c r="Z672" s="222"/>
      <c r="AA672" s="222"/>
    </row>
    <row r="673" spans="1:27" s="176" customFormat="1" hidden="1">
      <c r="A673" s="1110"/>
      <c r="B673" s="296"/>
      <c r="C673" s="339" t="s">
        <v>194</v>
      </c>
      <c r="D673" s="560"/>
      <c r="E673" s="464"/>
      <c r="F673" s="463"/>
      <c r="G673" s="458"/>
      <c r="H673" s="459"/>
      <c r="I673" s="460"/>
      <c r="J673" s="340"/>
      <c r="K673" s="340"/>
      <c r="L673" s="340"/>
      <c r="M673" s="340"/>
      <c r="N673" s="340"/>
      <c r="O673" s="340"/>
      <c r="P673" s="461"/>
      <c r="Q673" s="340"/>
      <c r="R673" s="462">
        <v>801</v>
      </c>
      <c r="S673" s="340" t="s">
        <v>195</v>
      </c>
      <c r="T673" s="347">
        <v>12</v>
      </c>
      <c r="U673" s="435" t="s">
        <v>498</v>
      </c>
      <c r="V673" s="429">
        <f t="shared" si="77"/>
        <v>0</v>
      </c>
      <c r="W673" s="175"/>
      <c r="X673" s="175"/>
      <c r="Y673" s="175"/>
      <c r="Z673" s="175"/>
      <c r="AA673" s="175"/>
    </row>
    <row r="674" spans="1:27" s="222" customFormat="1" hidden="1">
      <c r="A674" s="1105"/>
      <c r="B674" s="206"/>
      <c r="C674" s="287"/>
      <c r="D674" s="288"/>
      <c r="E674" s="289"/>
      <c r="F674" s="290"/>
      <c r="G674" s="288"/>
      <c r="H674" s="289"/>
      <c r="I674" s="290"/>
      <c r="J674" s="201"/>
      <c r="K674" s="291"/>
      <c r="L674" s="291"/>
      <c r="M674" s="291"/>
      <c r="N674" s="291"/>
      <c r="O674" s="292"/>
      <c r="P674" s="291"/>
      <c r="Q674" s="292"/>
      <c r="R674" s="218"/>
      <c r="S674" s="293"/>
      <c r="T674" s="204"/>
      <c r="U674" s="797"/>
      <c r="V674" s="418">
        <f t="shared" si="77"/>
        <v>0</v>
      </c>
    </row>
    <row r="675" spans="1:27" s="222" customFormat="1" hidden="1">
      <c r="A675" s="1106"/>
      <c r="B675" s="442"/>
      <c r="C675" s="1289"/>
      <c r="D675" s="1645"/>
      <c r="E675" s="1646"/>
      <c r="F675" s="1647"/>
      <c r="G675" s="1645"/>
      <c r="H675" s="1646"/>
      <c r="I675" s="1647"/>
      <c r="J675" s="747"/>
      <c r="K675" s="1294"/>
      <c r="L675" s="1648"/>
      <c r="M675" s="1292"/>
      <c r="N675" s="1293"/>
      <c r="O675" s="1649"/>
      <c r="P675" s="1648"/>
      <c r="Q675" s="1295"/>
      <c r="R675" s="1650"/>
      <c r="S675" s="1651"/>
      <c r="T675" s="750"/>
      <c r="U675" s="1652"/>
      <c r="V675" s="418">
        <f t="shared" si="77"/>
        <v>0</v>
      </c>
    </row>
    <row r="676" spans="1:27" s="40" customFormat="1" hidden="1">
      <c r="A676" s="1106"/>
      <c r="B676" s="239"/>
      <c r="C676" s="1603"/>
      <c r="D676" s="2527" t="s">
        <v>257</v>
      </c>
      <c r="E676" s="2528"/>
      <c r="F676" s="2528"/>
      <c r="G676" s="2528"/>
      <c r="H676" s="2528"/>
      <c r="I676" s="2529"/>
      <c r="J676" s="2490">
        <f>VLOOKUP(A678,'11 - FINANCEIRA'!_xlnm.Print_Area,28,FALSE)</f>
        <v>3204</v>
      </c>
      <c r="K676" s="2491"/>
      <c r="L676" s="309" t="str">
        <f>VLOOKUP(A678,'11 - FINANCEIRA'!_xlnm.Print_Area,4,FALSE)</f>
        <v>kg</v>
      </c>
      <c r="M676" s="2556" t="s">
        <v>258</v>
      </c>
      <c r="N676" s="2557"/>
      <c r="O676" s="2557"/>
      <c r="P676" s="2557"/>
      <c r="Q676" s="2558"/>
      <c r="R676" s="248">
        <f>SUM(R672:R675)</f>
        <v>3204</v>
      </c>
      <c r="S676" s="310" t="str">
        <f>L676</f>
        <v>kg</v>
      </c>
      <c r="T676" s="321"/>
      <c r="U676" s="322"/>
      <c r="V676" s="418">
        <f t="shared" si="77"/>
        <v>0</v>
      </c>
    </row>
    <row r="677" spans="1:27" s="40" customFormat="1" hidden="1">
      <c r="A677" s="1106"/>
      <c r="B677" s="246"/>
      <c r="C677" s="247"/>
      <c r="D677" s="2521" t="s">
        <v>259</v>
      </c>
      <c r="E677" s="2522"/>
      <c r="F677" s="2522"/>
      <c r="G677" s="2522"/>
      <c r="H677" s="2522"/>
      <c r="I677" s="2523"/>
      <c r="J677" s="2515">
        <f>R676/J676</f>
        <v>1</v>
      </c>
      <c r="K677" s="2516"/>
      <c r="L677" s="2554"/>
      <c r="M677" s="2556" t="s">
        <v>260</v>
      </c>
      <c r="N677" s="2557"/>
      <c r="O677" s="2557"/>
      <c r="P677" s="2557"/>
      <c r="Q677" s="2558"/>
      <c r="R677" s="248">
        <f>VLOOKUP(A678,'11 - FINANCEIRA'!_xlnm.Print_Area,8,FALSE)</f>
        <v>3204</v>
      </c>
      <c r="S677" s="249" t="str">
        <f>L676</f>
        <v>kg</v>
      </c>
      <c r="T677" s="244"/>
      <c r="U677" s="245"/>
      <c r="V677" s="418">
        <f t="shared" si="77"/>
        <v>0</v>
      </c>
    </row>
    <row r="678" spans="1:27" s="40" customFormat="1" hidden="1">
      <c r="A678" s="1106" t="s">
        <v>59</v>
      </c>
      <c r="B678" s="246"/>
      <c r="C678" s="240"/>
      <c r="D678" s="2524"/>
      <c r="E678" s="2525"/>
      <c r="F678" s="2525"/>
      <c r="G678" s="2525"/>
      <c r="H678" s="2525"/>
      <c r="I678" s="2526"/>
      <c r="J678" s="2519"/>
      <c r="K678" s="2520"/>
      <c r="L678" s="2570"/>
      <c r="M678" s="2574" t="s">
        <v>261</v>
      </c>
      <c r="N678" s="2575"/>
      <c r="O678" s="2575"/>
      <c r="P678" s="2575"/>
      <c r="Q678" s="2576"/>
      <c r="R678" s="251">
        <f>R676-R677</f>
        <v>0</v>
      </c>
      <c r="S678" s="252" t="str">
        <f>L676</f>
        <v>kg</v>
      </c>
      <c r="T678" s="244"/>
      <c r="U678" s="245"/>
      <c r="V678" s="418">
        <f>R678</f>
        <v>0</v>
      </c>
    </row>
    <row r="679" spans="1:27" s="40" customFormat="1" hidden="1">
      <c r="A679" s="1106"/>
      <c r="B679" s="311"/>
      <c r="C679" s="312"/>
      <c r="D679" s="313"/>
      <c r="E679" s="314"/>
      <c r="F679" s="313"/>
      <c r="G679" s="313"/>
      <c r="H679" s="313"/>
      <c r="I679" s="313"/>
      <c r="J679" s="315"/>
      <c r="K679" s="316"/>
      <c r="L679" s="317"/>
      <c r="M679" s="318"/>
      <c r="N679" s="318"/>
      <c r="O679" s="318"/>
      <c r="P679" s="318"/>
      <c r="Q679" s="318"/>
      <c r="R679" s="319"/>
      <c r="S679" s="320"/>
      <c r="T679" s="321"/>
      <c r="U679" s="322"/>
      <c r="V679" s="418">
        <f>SUM(V670:V678)</f>
        <v>0</v>
      </c>
    </row>
    <row r="680" spans="1:27" s="176" customFormat="1" ht="31.5" customHeight="1">
      <c r="A680" s="1106"/>
      <c r="B680" s="2463">
        <f>VLOOKUP(A719,'11 - FINANCEIRA'!_xlnm.Print_Area,2,FALSE)</f>
        <v>407819</v>
      </c>
      <c r="C680" s="2465" t="str">
        <f>VLOOKUP(A719,'11 - FINANCEIRA'!_xlnm.Print_Area,3,FALSE)</f>
        <v>Armação em aço CA-50 - fornecimento, preparo e colocação</v>
      </c>
      <c r="D680" s="2472" t="s">
        <v>242</v>
      </c>
      <c r="E680" s="2473"/>
      <c r="F680" s="2473"/>
      <c r="G680" s="2473"/>
      <c r="H680" s="2473"/>
      <c r="I680" s="2474"/>
      <c r="J680" s="2467" t="s">
        <v>243</v>
      </c>
      <c r="K680" s="2467" t="s">
        <v>244</v>
      </c>
      <c r="L680" s="2467" t="s">
        <v>245</v>
      </c>
      <c r="M680" s="2594" t="s">
        <v>351</v>
      </c>
      <c r="N680" s="2594" t="s">
        <v>247</v>
      </c>
      <c r="O680" s="2594" t="s">
        <v>352</v>
      </c>
      <c r="P680" s="2467" t="s">
        <v>1201</v>
      </c>
      <c r="Q680" s="2579" t="s">
        <v>139</v>
      </c>
      <c r="R680" s="2579" t="s">
        <v>139</v>
      </c>
      <c r="S680" s="2467" t="s">
        <v>251</v>
      </c>
      <c r="T680" s="2467" t="s">
        <v>252</v>
      </c>
      <c r="U680" s="2584" t="s">
        <v>253</v>
      </c>
      <c r="V680" s="418" t="e">
        <f>V681</f>
        <v>#REF!</v>
      </c>
      <c r="W680" s="175"/>
      <c r="X680" s="175"/>
      <c r="Y680" s="175"/>
      <c r="Z680" s="175"/>
      <c r="AA680" s="175"/>
    </row>
    <row r="681" spans="1:27" s="176" customFormat="1">
      <c r="A681" s="1106"/>
      <c r="B681" s="2464"/>
      <c r="C681" s="2466"/>
      <c r="D681" s="2475" t="s">
        <v>254</v>
      </c>
      <c r="E681" s="2476"/>
      <c r="F681" s="2477"/>
      <c r="G681" s="2469" t="s">
        <v>255</v>
      </c>
      <c r="H681" s="2470"/>
      <c r="I681" s="2471"/>
      <c r="J681" s="2468"/>
      <c r="K681" s="2468"/>
      <c r="L681" s="2468"/>
      <c r="M681" s="2595"/>
      <c r="N681" s="2595"/>
      <c r="O681" s="2595"/>
      <c r="P681" s="2468"/>
      <c r="Q681" s="2580"/>
      <c r="R681" s="2580"/>
      <c r="S681" s="2468"/>
      <c r="T681" s="2468"/>
      <c r="U681" s="2585"/>
      <c r="V681" s="418" t="e">
        <f>V682</f>
        <v>#REF!</v>
      </c>
      <c r="W681" s="175"/>
      <c r="X681" s="175"/>
      <c r="Y681" s="175"/>
      <c r="Z681" s="175"/>
      <c r="AA681" s="175"/>
    </row>
    <row r="682" spans="1:27" s="176" customFormat="1" ht="30">
      <c r="A682" s="1110"/>
      <c r="B682" s="336"/>
      <c r="C682" s="547" t="s">
        <v>353</v>
      </c>
      <c r="D682" s="419">
        <v>-2</v>
      </c>
      <c r="E682" s="420" t="s">
        <v>299</v>
      </c>
      <c r="F682" s="421">
        <v>17.78</v>
      </c>
      <c r="G682" s="422">
        <v>2</v>
      </c>
      <c r="H682" s="423" t="s">
        <v>299</v>
      </c>
      <c r="I682" s="424">
        <v>11</v>
      </c>
      <c r="J682" s="425" t="s">
        <v>300</v>
      </c>
      <c r="K682" s="548">
        <f t="shared" ref="K682:K687" si="78">SUM(G682*20+I682)-(D682*20+F682)</f>
        <v>73.22</v>
      </c>
      <c r="L682" s="549">
        <f>3.74*2+0.18+1</f>
        <v>8.66</v>
      </c>
      <c r="M682" s="425">
        <f>5.8*2.22</f>
        <v>12.876000000000001</v>
      </c>
      <c r="N682" s="548">
        <f>K682*L682</f>
        <v>634.08519999999999</v>
      </c>
      <c r="O682" s="550">
        <f>N682/M682</f>
        <v>49.245511028269647</v>
      </c>
      <c r="P682" s="551">
        <v>117.2</v>
      </c>
      <c r="Q682" s="1570">
        <v>2</v>
      </c>
      <c r="R682" s="552">
        <f>TRUNC(O682*P682,3)</f>
        <v>5771.5730000000003</v>
      </c>
      <c r="S682" s="425" t="s">
        <v>195</v>
      </c>
      <c r="T682" s="427">
        <v>8</v>
      </c>
      <c r="U682" s="2183" t="s">
        <v>339</v>
      </c>
      <c r="V682" s="429" t="e">
        <f>V683</f>
        <v>#REF!</v>
      </c>
      <c r="W682" s="175"/>
      <c r="X682" s="175"/>
      <c r="Y682" s="175"/>
      <c r="Z682" s="175"/>
      <c r="AA682" s="175"/>
    </row>
    <row r="683" spans="1:27" s="686" customFormat="1" ht="30">
      <c r="A683" s="1106"/>
      <c r="B683" s="195"/>
      <c r="C683" s="695" t="s">
        <v>353</v>
      </c>
      <c r="D683" s="696">
        <v>2</v>
      </c>
      <c r="E683" s="697" t="s">
        <v>299</v>
      </c>
      <c r="F683" s="698">
        <v>11</v>
      </c>
      <c r="G683" s="678">
        <v>5</v>
      </c>
      <c r="H683" s="282" t="s">
        <v>299</v>
      </c>
      <c r="I683" s="679">
        <v>14</v>
      </c>
      <c r="J683" s="699" t="s">
        <v>300</v>
      </c>
      <c r="K683" s="700">
        <f t="shared" si="78"/>
        <v>63</v>
      </c>
      <c r="L683" s="701">
        <f>3.74+0.18+1</f>
        <v>4.92</v>
      </c>
      <c r="M683" s="702">
        <f>5.8*2.22</f>
        <v>12.876000000000001</v>
      </c>
      <c r="N683" s="703">
        <f>K683*L683</f>
        <v>309.95999999999998</v>
      </c>
      <c r="O683" s="703">
        <f>N683/M683</f>
        <v>24.072693383038207</v>
      </c>
      <c r="P683" s="701">
        <v>117.2</v>
      </c>
      <c r="Q683" s="1571">
        <v>1</v>
      </c>
      <c r="R683" s="704">
        <f>TRUNC(O683*P683,3)</f>
        <v>2821.319</v>
      </c>
      <c r="S683" s="705" t="s">
        <v>195</v>
      </c>
      <c r="T683" s="1314">
        <v>10</v>
      </c>
      <c r="U683" s="681"/>
      <c r="V683" s="418" t="e">
        <f>#REF!</f>
        <v>#REF!</v>
      </c>
      <c r="W683" s="222"/>
      <c r="X683" s="222"/>
      <c r="Y683" s="222"/>
      <c r="Z683" s="222"/>
      <c r="AA683" s="222"/>
    </row>
    <row r="684" spans="1:27" s="686" customFormat="1">
      <c r="A684" s="1106"/>
      <c r="B684" s="195"/>
      <c r="C684" s="706" t="s">
        <v>354</v>
      </c>
      <c r="D684" s="707">
        <v>-2</v>
      </c>
      <c r="E684" s="708" t="s">
        <v>299</v>
      </c>
      <c r="F684" s="709">
        <v>17.78</v>
      </c>
      <c r="G684" s="678">
        <v>5</v>
      </c>
      <c r="H684" s="282" t="s">
        <v>299</v>
      </c>
      <c r="I684" s="679">
        <v>14</v>
      </c>
      <c r="J684" s="693" t="s">
        <v>309</v>
      </c>
      <c r="K684" s="699">
        <f t="shared" si="78"/>
        <v>136.22</v>
      </c>
      <c r="L684" s="701">
        <v>0.5</v>
      </c>
      <c r="M684" s="702">
        <v>0.7</v>
      </c>
      <c r="N684" s="703">
        <f>K684/M684*L684</f>
        <v>97.300000000000011</v>
      </c>
      <c r="O684" s="703"/>
      <c r="P684" s="702">
        <v>0.73499999999999999</v>
      </c>
      <c r="Q684" s="1571">
        <v>2</v>
      </c>
      <c r="R684" s="704">
        <f>N684*P684</f>
        <v>71.515500000000003</v>
      </c>
      <c r="S684" s="710" t="s">
        <v>195</v>
      </c>
      <c r="T684" s="711">
        <v>10</v>
      </c>
      <c r="U684" s="712" t="s">
        <v>355</v>
      </c>
      <c r="V684" s="418">
        <f>V685</f>
        <v>1216.1919999999991</v>
      </c>
      <c r="W684" s="222"/>
      <c r="X684" s="222"/>
      <c r="Y684" s="222"/>
      <c r="Z684" s="222"/>
      <c r="AA684" s="222"/>
    </row>
    <row r="685" spans="1:27" s="176" customFormat="1" ht="30">
      <c r="A685" s="1110"/>
      <c r="B685" s="296"/>
      <c r="C685" s="547" t="s">
        <v>353</v>
      </c>
      <c r="D685" s="821">
        <v>6</v>
      </c>
      <c r="E685" s="822" t="s">
        <v>299</v>
      </c>
      <c r="F685" s="823">
        <v>9</v>
      </c>
      <c r="G685" s="432">
        <v>7</v>
      </c>
      <c r="H685" s="301" t="s">
        <v>299</v>
      </c>
      <c r="I685" s="433">
        <v>4</v>
      </c>
      <c r="J685" s="558" t="s">
        <v>300</v>
      </c>
      <c r="K685" s="614">
        <f t="shared" si="78"/>
        <v>15</v>
      </c>
      <c r="L685" s="634">
        <f>3.74+0.18+1</f>
        <v>4.92</v>
      </c>
      <c r="M685" s="824">
        <f>5.8*2.22</f>
        <v>12.876000000000001</v>
      </c>
      <c r="N685" s="642">
        <f>K685*L685</f>
        <v>73.8</v>
      </c>
      <c r="O685" s="642">
        <f>N685/M685</f>
        <v>5.7315936626281445</v>
      </c>
      <c r="P685" s="634">
        <v>117.2</v>
      </c>
      <c r="Q685" s="1572"/>
      <c r="R685" s="643">
        <f>TRUNC(O685*P685,3)</f>
        <v>671.74199999999996</v>
      </c>
      <c r="S685" s="631" t="s">
        <v>195</v>
      </c>
      <c r="T685" s="539">
        <v>12</v>
      </c>
      <c r="U685" s="435" t="s">
        <v>530</v>
      </c>
      <c r="V685" s="429">
        <f>V717</f>
        <v>1216.1919999999991</v>
      </c>
      <c r="W685" s="175"/>
      <c r="X685" s="175"/>
      <c r="Y685" s="175"/>
      <c r="Z685" s="175"/>
      <c r="AA685" s="175"/>
    </row>
    <row r="686" spans="1:27" s="176" customFormat="1" ht="30">
      <c r="A686" s="1110"/>
      <c r="B686" s="296"/>
      <c r="C686" s="547" t="s">
        <v>353</v>
      </c>
      <c r="D686" s="821">
        <v>6</v>
      </c>
      <c r="E686" s="822" t="s">
        <v>299</v>
      </c>
      <c r="F686" s="823">
        <v>9</v>
      </c>
      <c r="G686" s="432">
        <v>7</v>
      </c>
      <c r="H686" s="301" t="s">
        <v>299</v>
      </c>
      <c r="I686" s="433">
        <v>4</v>
      </c>
      <c r="J686" s="558" t="s">
        <v>300</v>
      </c>
      <c r="K686" s="614">
        <f t="shared" si="78"/>
        <v>15</v>
      </c>
      <c r="L686" s="634">
        <f>3.74+0.18+1</f>
        <v>4.92</v>
      </c>
      <c r="M686" s="824">
        <f>5.8*2.22</f>
        <v>12.876000000000001</v>
      </c>
      <c r="N686" s="642">
        <f>K686*L686</f>
        <v>73.8</v>
      </c>
      <c r="O686" s="642">
        <f>N686/M686</f>
        <v>5.7315936626281445</v>
      </c>
      <c r="P686" s="634">
        <v>117.2</v>
      </c>
      <c r="Q686" s="1572"/>
      <c r="R686" s="643">
        <f>TRUNC(O686*P686,3)</f>
        <v>671.74199999999996</v>
      </c>
      <c r="S686" s="631" t="s">
        <v>195</v>
      </c>
      <c r="T686" s="539">
        <v>12</v>
      </c>
      <c r="U686" s="435">
        <v>0.96330000000000005</v>
      </c>
      <c r="V686" s="429"/>
      <c r="W686" s="175"/>
      <c r="X686" s="175"/>
      <c r="Y686" s="175"/>
      <c r="Z686" s="175"/>
      <c r="AA686" s="175"/>
    </row>
    <row r="687" spans="1:27" s="176" customFormat="1">
      <c r="A687" s="1110"/>
      <c r="B687" s="296"/>
      <c r="C687" s="826" t="s">
        <v>354</v>
      </c>
      <c r="D687" s="623">
        <v>6</v>
      </c>
      <c r="E687" s="535" t="s">
        <v>299</v>
      </c>
      <c r="F687" s="625">
        <v>9</v>
      </c>
      <c r="G687" s="432">
        <v>7</v>
      </c>
      <c r="H687" s="301" t="s">
        <v>299</v>
      </c>
      <c r="I687" s="433">
        <v>4</v>
      </c>
      <c r="J687" s="509" t="s">
        <v>309</v>
      </c>
      <c r="K687" s="558">
        <f t="shared" si="78"/>
        <v>15</v>
      </c>
      <c r="L687" s="634">
        <v>0.5</v>
      </c>
      <c r="M687" s="824">
        <v>0.7</v>
      </c>
      <c r="N687" s="642">
        <f>K687/M687*L687</f>
        <v>10.714285714285715</v>
      </c>
      <c r="O687" s="642"/>
      <c r="P687" s="824">
        <v>0.73499999999999999</v>
      </c>
      <c r="Q687" s="1572"/>
      <c r="R687" s="643">
        <f>N687*P687</f>
        <v>7.8750000000000009</v>
      </c>
      <c r="S687" s="827" t="s">
        <v>195</v>
      </c>
      <c r="T687" s="539">
        <v>12</v>
      </c>
      <c r="U687" s="508" t="s">
        <v>547</v>
      </c>
      <c r="V687" s="429" t="e">
        <f>#REF!</f>
        <v>#REF!</v>
      </c>
      <c r="W687" s="175"/>
      <c r="X687" s="175"/>
      <c r="Y687" s="175"/>
      <c r="Z687" s="175"/>
      <c r="AA687" s="175"/>
    </row>
    <row r="688" spans="1:27" s="176" customFormat="1">
      <c r="A688" s="1110"/>
      <c r="B688" s="296"/>
      <c r="C688" s="826" t="s">
        <v>800</v>
      </c>
      <c r="D688" s="623">
        <v>8</v>
      </c>
      <c r="E688" s="535" t="s">
        <v>299</v>
      </c>
      <c r="F688" s="625">
        <v>10</v>
      </c>
      <c r="G688" s="432">
        <v>9</v>
      </c>
      <c r="H688" s="301" t="s">
        <v>299</v>
      </c>
      <c r="I688" s="433">
        <v>6</v>
      </c>
      <c r="J688" s="509" t="s">
        <v>300</v>
      </c>
      <c r="K688" s="558">
        <f>SUM(G688*20+I688)-(D688*20+F688)</f>
        <v>16</v>
      </c>
      <c r="L688" s="634"/>
      <c r="M688" s="824"/>
      <c r="N688" s="642"/>
      <c r="O688" s="642"/>
      <c r="P688" s="824"/>
      <c r="Q688" s="1572"/>
      <c r="R688" s="1562">
        <v>506.45746666666668</v>
      </c>
      <c r="S688" s="827" t="s">
        <v>195</v>
      </c>
      <c r="T688" s="539">
        <v>21</v>
      </c>
      <c r="U688" s="508" t="s">
        <v>793</v>
      </c>
      <c r="V688" s="429"/>
      <c r="W688" s="175"/>
      <c r="X688" s="175"/>
      <c r="Y688" s="175"/>
      <c r="Z688" s="175"/>
      <c r="AA688" s="175"/>
    </row>
    <row r="689" spans="1:27" s="176" customFormat="1">
      <c r="A689" s="1110"/>
      <c r="B689" s="296"/>
      <c r="C689" s="826" t="s">
        <v>804</v>
      </c>
      <c r="D689" s="623">
        <v>8</v>
      </c>
      <c r="E689" s="535" t="s">
        <v>299</v>
      </c>
      <c r="F689" s="625">
        <v>8</v>
      </c>
      <c r="G689" s="432">
        <v>9</v>
      </c>
      <c r="H689" s="301" t="s">
        <v>299</v>
      </c>
      <c r="I689" s="433">
        <v>6</v>
      </c>
      <c r="J689" s="509" t="s">
        <v>300</v>
      </c>
      <c r="K689" s="558">
        <f>SUM(G689*20+I689)-(D689*20+F689)</f>
        <v>18</v>
      </c>
      <c r="L689" s="634"/>
      <c r="M689" s="824"/>
      <c r="N689" s="642"/>
      <c r="O689" s="642"/>
      <c r="P689" s="824"/>
      <c r="Q689" s="1572"/>
      <c r="R689" s="1562">
        <v>447.08583333333331</v>
      </c>
      <c r="S689" s="827" t="s">
        <v>195</v>
      </c>
      <c r="T689" s="539">
        <v>21</v>
      </c>
      <c r="U689" s="508" t="s">
        <v>793</v>
      </c>
      <c r="V689" s="429"/>
      <c r="W689" s="175"/>
      <c r="X689" s="175"/>
      <c r="Y689" s="175"/>
      <c r="Z689" s="175"/>
      <c r="AA689" s="175"/>
    </row>
    <row r="690" spans="1:27" s="176" customFormat="1">
      <c r="A690" s="1110"/>
      <c r="B690" s="296"/>
      <c r="C690" s="826" t="s">
        <v>805</v>
      </c>
      <c r="D690" s="623">
        <v>8</v>
      </c>
      <c r="E690" s="535" t="s">
        <v>299</v>
      </c>
      <c r="F690" s="625">
        <v>8</v>
      </c>
      <c r="G690" s="432">
        <v>9</v>
      </c>
      <c r="H690" s="301" t="s">
        <v>299</v>
      </c>
      <c r="I690" s="433">
        <v>6</v>
      </c>
      <c r="J690" s="509">
        <v>4</v>
      </c>
      <c r="K690" s="558">
        <f>SUM(G690*20+I690)-(D690*20+F690)</f>
        <v>18</v>
      </c>
      <c r="L690" s="634">
        <v>0.6</v>
      </c>
      <c r="M690" s="824">
        <v>14.4</v>
      </c>
      <c r="N690" s="642">
        <f>J690*K690*L690</f>
        <v>43.199999999999996</v>
      </c>
      <c r="O690" s="642">
        <f>N690/M690</f>
        <v>2.9999999999999996</v>
      </c>
      <c r="P690" s="824">
        <v>45.72</v>
      </c>
      <c r="Q690" s="1572"/>
      <c r="R690" s="1562">
        <f>O690*P690</f>
        <v>137.15999999999997</v>
      </c>
      <c r="S690" s="827" t="s">
        <v>195</v>
      </c>
      <c r="T690" s="539">
        <v>21</v>
      </c>
      <c r="U690" s="508" t="s">
        <v>806</v>
      </c>
      <c r="V690" s="429"/>
      <c r="W690" s="175"/>
      <c r="X690" s="175"/>
      <c r="Y690" s="175"/>
      <c r="Z690" s="175"/>
      <c r="AA690" s="175"/>
    </row>
    <row r="691" spans="1:27" s="176" customFormat="1">
      <c r="A691" s="1110"/>
      <c r="B691" s="296"/>
      <c r="C691" s="826" t="s">
        <v>801</v>
      </c>
      <c r="D691" s="623">
        <v>8</v>
      </c>
      <c r="E691" s="535" t="s">
        <v>299</v>
      </c>
      <c r="F691" s="625">
        <v>8</v>
      </c>
      <c r="G691" s="432">
        <v>9</v>
      </c>
      <c r="H691" s="301" t="s">
        <v>299</v>
      </c>
      <c r="I691" s="433">
        <v>6</v>
      </c>
      <c r="J691" s="509">
        <v>4</v>
      </c>
      <c r="K691" s="558">
        <f>SUM(G691*20+I691)-(D691*20+F691)</f>
        <v>18</v>
      </c>
      <c r="L691" s="634">
        <f>K691/6</f>
        <v>3</v>
      </c>
      <c r="M691" s="824"/>
      <c r="N691" s="642"/>
      <c r="O691" s="642">
        <f>J691*L691</f>
        <v>12</v>
      </c>
      <c r="P691" s="824">
        <v>45.72</v>
      </c>
      <c r="Q691" s="1572"/>
      <c r="R691" s="643">
        <f>O691*P691</f>
        <v>548.64</v>
      </c>
      <c r="S691" s="827" t="s">
        <v>195</v>
      </c>
      <c r="T691" s="539">
        <v>21</v>
      </c>
      <c r="U691" s="508" t="s">
        <v>802</v>
      </c>
      <c r="V691" s="429"/>
      <c r="W691" s="175"/>
      <c r="X691" s="175"/>
      <c r="Y691" s="175"/>
      <c r="Z691" s="175"/>
      <c r="AA691" s="175"/>
    </row>
    <row r="692" spans="1:27" s="175" customFormat="1">
      <c r="A692" s="1110"/>
      <c r="B692" s="348"/>
      <c r="C692" s="522" t="s">
        <v>803</v>
      </c>
      <c r="D692" s="623">
        <v>8</v>
      </c>
      <c r="E692" s="535" t="s">
        <v>299</v>
      </c>
      <c r="F692" s="625">
        <v>9</v>
      </c>
      <c r="G692" s="432">
        <v>9</v>
      </c>
      <c r="H692" s="301" t="s">
        <v>299</v>
      </c>
      <c r="I692" s="433">
        <v>5</v>
      </c>
      <c r="J692" s="509"/>
      <c r="K692" s="558">
        <f>SUM(G692*20+I692)-(D692*20+F692)</f>
        <v>16</v>
      </c>
      <c r="L692" s="626">
        <f>3.4+0.3+0.3</f>
        <v>3.9999999999999996</v>
      </c>
      <c r="M692" s="351"/>
      <c r="N692" s="352"/>
      <c r="O692" s="642">
        <f>K692/0.3</f>
        <v>53.333333333333336</v>
      </c>
      <c r="P692" s="824">
        <v>0.96330000000000005</v>
      </c>
      <c r="Q692" s="1573"/>
      <c r="R692" s="643">
        <f>O692*P692*L692</f>
        <v>205.50399999999999</v>
      </c>
      <c r="S692" s="827" t="s">
        <v>195</v>
      </c>
      <c r="T692" s="539">
        <v>21</v>
      </c>
      <c r="U692" s="508" t="s">
        <v>802</v>
      </c>
      <c r="V692" s="429"/>
    </row>
    <row r="693" spans="1:27" s="175" customFormat="1">
      <c r="A693" s="1110"/>
      <c r="B693" s="348"/>
      <c r="C693" s="522" t="s">
        <v>875</v>
      </c>
      <c r="D693" s="821"/>
      <c r="E693" s="1159"/>
      <c r="F693" s="823"/>
      <c r="G693" s="432"/>
      <c r="H693" s="301"/>
      <c r="I693" s="433"/>
      <c r="J693" s="1160"/>
      <c r="K693" s="821"/>
      <c r="L693" s="626"/>
      <c r="M693" s="351"/>
      <c r="N693" s="352"/>
      <c r="O693" s="642"/>
      <c r="P693" s="824"/>
      <c r="Q693" s="1573"/>
      <c r="R693" s="630">
        <f>(R1341)*-1</f>
        <v>3083.5672772233884</v>
      </c>
      <c r="S693" s="629" t="s">
        <v>195</v>
      </c>
      <c r="T693" s="632">
        <v>22</v>
      </c>
      <c r="U693" s="435" t="s">
        <v>880</v>
      </c>
      <c r="V693" s="429"/>
    </row>
    <row r="694" spans="1:27" s="175" customFormat="1">
      <c r="A694" s="1110"/>
      <c r="B694" s="348"/>
      <c r="C694" s="522" t="s">
        <v>876</v>
      </c>
      <c r="D694" s="821"/>
      <c r="E694" s="1159"/>
      <c r="F694" s="823"/>
      <c r="G694" s="432"/>
      <c r="H694" s="301"/>
      <c r="I694" s="433"/>
      <c r="J694" s="1160"/>
      <c r="K694" s="821">
        <f>SUM(3.32+0.12+1.36+1.36+0.12)</f>
        <v>6.28</v>
      </c>
      <c r="L694" s="626"/>
      <c r="M694" s="351"/>
      <c r="N694" s="352"/>
      <c r="O694" s="642">
        <v>20</v>
      </c>
      <c r="P694" s="824">
        <v>0.96330000000000005</v>
      </c>
      <c r="Q694" s="1571">
        <v>2</v>
      </c>
      <c r="R694" s="630">
        <f>SUM(K694*O694*P694)*Q694</f>
        <v>241.98096000000004</v>
      </c>
      <c r="S694" s="629" t="s">
        <v>195</v>
      </c>
      <c r="T694" s="632">
        <v>22</v>
      </c>
      <c r="U694" s="435" t="s">
        <v>879</v>
      </c>
      <c r="V694" s="429"/>
    </row>
    <row r="695" spans="1:27" s="175" customFormat="1">
      <c r="A695" s="1110"/>
      <c r="B695" s="348"/>
      <c r="C695" s="522" t="s">
        <v>877</v>
      </c>
      <c r="D695" s="821"/>
      <c r="E695" s="1159"/>
      <c r="F695" s="823"/>
      <c r="G695" s="432"/>
      <c r="H695" s="301"/>
      <c r="I695" s="433"/>
      <c r="J695" s="1160"/>
      <c r="K695" s="821">
        <f>SUM( 3+1.9)</f>
        <v>4.9000000000000004</v>
      </c>
      <c r="L695" s="626"/>
      <c r="M695" s="351"/>
      <c r="N695" s="352"/>
      <c r="O695" s="642"/>
      <c r="P695" s="824">
        <v>0.96330000000000005</v>
      </c>
      <c r="Q695" s="1571">
        <v>4</v>
      </c>
      <c r="R695" s="630">
        <f>SUM(K695*Q695*P695)</f>
        <v>18.880680000000002</v>
      </c>
      <c r="S695" s="629" t="s">
        <v>195</v>
      </c>
      <c r="T695" s="632">
        <v>22</v>
      </c>
      <c r="U695" s="435" t="s">
        <v>879</v>
      </c>
      <c r="V695" s="429"/>
    </row>
    <row r="696" spans="1:27" s="175" customFormat="1">
      <c r="A696" s="1110"/>
      <c r="B696" s="348"/>
      <c r="C696" s="522" t="s">
        <v>878</v>
      </c>
      <c r="D696" s="821"/>
      <c r="E696" s="1159"/>
      <c r="F696" s="823"/>
      <c r="G696" s="432"/>
      <c r="H696" s="301"/>
      <c r="I696" s="433"/>
      <c r="J696" s="1160"/>
      <c r="K696" s="821"/>
      <c r="L696" s="626"/>
      <c r="M696" s="351">
        <v>14.4</v>
      </c>
      <c r="N696" s="351">
        <f>SUM(3.4*2)*2</f>
        <v>13.6</v>
      </c>
      <c r="O696" s="642">
        <f>SUM(N696/M696)*2</f>
        <v>1.8888888888888888</v>
      </c>
      <c r="P696" s="824">
        <f>P690</f>
        <v>45.72</v>
      </c>
      <c r="Q696" s="1571">
        <v>2</v>
      </c>
      <c r="R696" s="630">
        <f>O696*P696*Q696</f>
        <v>172.72</v>
      </c>
      <c r="S696" s="629" t="s">
        <v>195</v>
      </c>
      <c r="T696" s="632">
        <v>22</v>
      </c>
      <c r="U696" s="435" t="s">
        <v>879</v>
      </c>
      <c r="V696" s="429"/>
    </row>
    <row r="697" spans="1:27" s="176" customFormat="1">
      <c r="A697" s="1110"/>
      <c r="B697" s="1032"/>
      <c r="C697" s="644" t="s">
        <v>766</v>
      </c>
      <c r="D697" s="821"/>
      <c r="E697" s="1159"/>
      <c r="F697" s="823"/>
      <c r="G697" s="1781"/>
      <c r="H697" s="1782"/>
      <c r="I697" s="1783"/>
      <c r="J697" s="1160"/>
      <c r="K697" s="558"/>
      <c r="L697" s="626"/>
      <c r="M697" s="627"/>
      <c r="N697" s="628"/>
      <c r="O697" s="629"/>
      <c r="P697" s="1784"/>
      <c r="Q697" s="1785"/>
      <c r="R697" s="1607">
        <v>1045.28</v>
      </c>
      <c r="S697" s="631" t="s">
        <v>195</v>
      </c>
      <c r="T697" s="632">
        <v>22</v>
      </c>
      <c r="U697" s="492" t="s">
        <v>915</v>
      </c>
      <c r="V697" s="306"/>
      <c r="W697" s="175"/>
      <c r="X697" s="175"/>
      <c r="Y697" s="175"/>
      <c r="Z697" s="175"/>
      <c r="AA697" s="175"/>
    </row>
    <row r="698" spans="1:27" s="686" customFormat="1">
      <c r="A698" s="1106"/>
      <c r="B698" s="682"/>
      <c r="C698" s="1247" t="s">
        <v>660</v>
      </c>
      <c r="D698" s="1248">
        <v>27</v>
      </c>
      <c r="E698" s="1249" t="s">
        <v>299</v>
      </c>
      <c r="F698" s="1250">
        <v>0</v>
      </c>
      <c r="G698" s="1248">
        <v>31</v>
      </c>
      <c r="H698" s="1249" t="s">
        <v>299</v>
      </c>
      <c r="I698" s="1250">
        <v>12</v>
      </c>
      <c r="J698" s="1251" t="s">
        <v>300</v>
      </c>
      <c r="K698" s="680">
        <f>SUM(G698*20+I698)-(D698*20+F698)</f>
        <v>92</v>
      </c>
      <c r="L698" s="1252"/>
      <c r="M698" s="1253"/>
      <c r="N698" s="1254"/>
      <c r="O698" s="1255"/>
      <c r="P698" s="1567">
        <v>0.96299999999999997</v>
      </c>
      <c r="Q698" s="1571">
        <f>K698*2</f>
        <v>184</v>
      </c>
      <c r="R698" s="1256">
        <v>184.89599999999999</v>
      </c>
      <c r="S698" s="705" t="s">
        <v>618</v>
      </c>
      <c r="T698" s="1257">
        <v>24</v>
      </c>
      <c r="U698" s="1258" t="s">
        <v>978</v>
      </c>
      <c r="V698" s="174"/>
      <c r="W698" s="222"/>
      <c r="X698" s="222"/>
      <c r="Y698" s="222"/>
      <c r="Z698" s="222"/>
      <c r="AA698" s="222"/>
    </row>
    <row r="699" spans="1:27" s="686" customFormat="1">
      <c r="A699" s="1106"/>
      <c r="B699" s="682"/>
      <c r="C699" s="1259" t="s">
        <v>405</v>
      </c>
      <c r="D699" s="1248">
        <v>27</v>
      </c>
      <c r="E699" s="1249" t="s">
        <v>299</v>
      </c>
      <c r="F699" s="1250">
        <v>0</v>
      </c>
      <c r="G699" s="1248">
        <v>31</v>
      </c>
      <c r="H699" s="1249" t="s">
        <v>299</v>
      </c>
      <c r="I699" s="1250">
        <v>12</v>
      </c>
      <c r="J699" s="699" t="s">
        <v>300</v>
      </c>
      <c r="K699" s="680">
        <f>SUM(G699*20+I699)-(D699*20+F699)</f>
        <v>92</v>
      </c>
      <c r="L699" s="701"/>
      <c r="M699" s="705"/>
      <c r="N699" s="703"/>
      <c r="O699" s="705"/>
      <c r="P699" s="1568">
        <v>0.73499999999999999</v>
      </c>
      <c r="Q699" s="1571">
        <f>SUM(K699/0.7)*3</f>
        <v>394.28571428571433</v>
      </c>
      <c r="R699" s="704">
        <f>TRUNC(Q699*P699,3)</f>
        <v>289.8</v>
      </c>
      <c r="S699" s="705" t="s">
        <v>195</v>
      </c>
      <c r="T699" s="711">
        <v>24</v>
      </c>
      <c r="U699" s="1258" t="s">
        <v>978</v>
      </c>
      <c r="V699" s="174">
        <f>V700</f>
        <v>0</v>
      </c>
      <c r="W699" s="222"/>
      <c r="X699" s="222"/>
      <c r="Y699" s="222"/>
      <c r="Z699" s="222"/>
      <c r="AA699" s="222"/>
    </row>
    <row r="700" spans="1:27" s="118" customFormat="1">
      <c r="A700" s="1106"/>
      <c r="B700" s="1260"/>
      <c r="C700" s="1261" t="s">
        <v>617</v>
      </c>
      <c r="D700" s="1262">
        <v>27</v>
      </c>
      <c r="E700" s="1263" t="s">
        <v>299</v>
      </c>
      <c r="F700" s="1264">
        <v>0</v>
      </c>
      <c r="G700" s="1262">
        <v>31</v>
      </c>
      <c r="H700" s="1263" t="s">
        <v>299</v>
      </c>
      <c r="I700" s="1264">
        <v>12</v>
      </c>
      <c r="J700" s="1265"/>
      <c r="K700" s="1265">
        <f>SUM(G700*20+I700)-(D700*20+F700)</f>
        <v>92</v>
      </c>
      <c r="L700" s="1266"/>
      <c r="M700" s="1267"/>
      <c r="N700" s="1268"/>
      <c r="O700" s="1269">
        <v>3</v>
      </c>
      <c r="P700" s="1569">
        <v>65.86</v>
      </c>
      <c r="Q700" s="1571">
        <f>K700/6</f>
        <v>15.333333333333334</v>
      </c>
      <c r="R700" s="1270">
        <f>P700*O700*Q700</f>
        <v>3029.56</v>
      </c>
      <c r="S700" s="1271" t="s">
        <v>618</v>
      </c>
      <c r="T700" s="1272">
        <v>24</v>
      </c>
      <c r="U700" s="1273" t="s">
        <v>978</v>
      </c>
      <c r="V700" s="1274"/>
    </row>
    <row r="701" spans="1:27" s="222" customFormat="1">
      <c r="A701" s="1106"/>
      <c r="B701" s="442"/>
      <c r="C701" s="1275" t="s">
        <v>876</v>
      </c>
      <c r="D701" s="1276">
        <v>23</v>
      </c>
      <c r="E701" s="1277" t="s">
        <v>299</v>
      </c>
      <c r="F701" s="1278">
        <v>10</v>
      </c>
      <c r="G701" s="1279"/>
      <c r="H701" s="1280"/>
      <c r="I701" s="1281"/>
      <c r="J701" s="1282"/>
      <c r="K701" s="1276">
        <f>SUM(3.32+0.12+1.36+1.36+0.12)</f>
        <v>6.28</v>
      </c>
      <c r="L701" s="1283"/>
      <c r="M701" s="1284"/>
      <c r="N701" s="1285"/>
      <c r="O701" s="642">
        <f>SUM(2/0.1)</f>
        <v>20</v>
      </c>
      <c r="P701" s="824">
        <v>0.96330000000000005</v>
      </c>
      <c r="Q701" s="1571">
        <v>2</v>
      </c>
      <c r="R701" s="1563">
        <f>SUM(K701*O701*P701)*Q701</f>
        <v>241.98096000000004</v>
      </c>
      <c r="S701" s="1286" t="s">
        <v>195</v>
      </c>
      <c r="T701" s="1287">
        <v>24</v>
      </c>
      <c r="U701" s="1288" t="s">
        <v>985</v>
      </c>
      <c r="V701" s="418"/>
    </row>
    <row r="702" spans="1:27" s="222" customFormat="1">
      <c r="A702" s="1106"/>
      <c r="B702" s="442"/>
      <c r="C702" s="1289" t="s">
        <v>877</v>
      </c>
      <c r="D702" s="696">
        <v>23</v>
      </c>
      <c r="E702" s="1290" t="s">
        <v>299</v>
      </c>
      <c r="F702" s="698">
        <v>10</v>
      </c>
      <c r="G702" s="678"/>
      <c r="H702" s="282"/>
      <c r="I702" s="679"/>
      <c r="J702" s="1291"/>
      <c r="K702" s="696">
        <f>SUM( 3+1.9)</f>
        <v>4.9000000000000004</v>
      </c>
      <c r="L702" s="1252"/>
      <c r="M702" s="1292"/>
      <c r="N702" s="1293"/>
      <c r="O702" s="642"/>
      <c r="P702" s="824">
        <v>0.96330000000000005</v>
      </c>
      <c r="Q702" s="1571">
        <v>4</v>
      </c>
      <c r="R702" s="1256">
        <f>SUM(K702*Q702*P702)</f>
        <v>18.880680000000002</v>
      </c>
      <c r="S702" s="1255" t="s">
        <v>195</v>
      </c>
      <c r="T702" s="1257">
        <v>24</v>
      </c>
      <c r="U702" s="681" t="s">
        <v>980</v>
      </c>
      <c r="V702" s="418"/>
    </row>
    <row r="703" spans="1:27" s="222" customFormat="1">
      <c r="A703" s="1106"/>
      <c r="B703" s="206"/>
      <c r="C703" s="224" t="s">
        <v>878</v>
      </c>
      <c r="D703" s="1296">
        <v>23</v>
      </c>
      <c r="E703" s="1297" t="s">
        <v>299</v>
      </c>
      <c r="F703" s="1298">
        <v>10</v>
      </c>
      <c r="G703" s="1299"/>
      <c r="H703" s="1300"/>
      <c r="I703" s="1301"/>
      <c r="J703" s="1302"/>
      <c r="K703" s="1296"/>
      <c r="L703" s="1266"/>
      <c r="M703" s="231">
        <v>14.4</v>
      </c>
      <c r="N703" s="231">
        <f>SUM(3.4*2)*2</f>
        <v>13.6</v>
      </c>
      <c r="O703" s="642">
        <f>SUM(N703/M703)*2</f>
        <v>1.8888888888888888</v>
      </c>
      <c r="P703" s="824">
        <v>0.96330000000000005</v>
      </c>
      <c r="Q703" s="1571">
        <v>2</v>
      </c>
      <c r="R703" s="1564">
        <f>O703*P703*Q703</f>
        <v>3.6391333333333336</v>
      </c>
      <c r="S703" s="1269" t="s">
        <v>195</v>
      </c>
      <c r="T703" s="1272">
        <v>24</v>
      </c>
      <c r="U703" s="1303" t="s">
        <v>980</v>
      </c>
      <c r="V703" s="418"/>
    </row>
    <row r="704" spans="1:27" s="222" customFormat="1">
      <c r="A704" s="1106"/>
      <c r="B704" s="442"/>
      <c r="C704" s="1304" t="s">
        <v>983</v>
      </c>
      <c r="D704" s="1305"/>
      <c r="E704" s="2223"/>
      <c r="F704" s="1306"/>
      <c r="G704" s="1307"/>
      <c r="H704" s="2135"/>
      <c r="I704" s="1308"/>
      <c r="J704" s="1309"/>
      <c r="K704" s="1305">
        <f>SUM(2+0.12+1.2+1.2+0.12)</f>
        <v>4.6400000000000006</v>
      </c>
      <c r="L704" s="1310"/>
      <c r="M704" s="1311"/>
      <c r="N704" s="1312"/>
      <c r="O704" s="642">
        <f>SUM(2/0.1)</f>
        <v>20</v>
      </c>
      <c r="P704" s="824">
        <v>0.96330000000000005</v>
      </c>
      <c r="Q704" s="1571">
        <v>2</v>
      </c>
      <c r="R704" s="1565">
        <f>SUM(K704*O704*P704)*Q704</f>
        <v>178.78848000000002</v>
      </c>
      <c r="S704" s="1313" t="s">
        <v>195</v>
      </c>
      <c r="T704" s="1314">
        <v>24</v>
      </c>
      <c r="U704" s="712" t="s">
        <v>984</v>
      </c>
      <c r="V704" s="418"/>
    </row>
    <row r="705" spans="1:27" s="222" customFormat="1">
      <c r="A705" s="1106"/>
      <c r="B705" s="442"/>
      <c r="C705" s="1289" t="s">
        <v>982</v>
      </c>
      <c r="D705" s="696"/>
      <c r="E705" s="1290"/>
      <c r="F705" s="698"/>
      <c r="G705" s="678"/>
      <c r="H705" s="282"/>
      <c r="I705" s="679"/>
      <c r="J705" s="1291"/>
      <c r="K705" s="696">
        <f>SUM( 2+1.9)</f>
        <v>3.9</v>
      </c>
      <c r="L705" s="1252"/>
      <c r="M705" s="1292"/>
      <c r="N705" s="1293"/>
      <c r="O705" s="642"/>
      <c r="P705" s="824">
        <v>0.96330000000000005</v>
      </c>
      <c r="Q705" s="1571">
        <v>4</v>
      </c>
      <c r="R705" s="1256">
        <f>SUM(K705*Q705*P705)</f>
        <v>15.027480000000001</v>
      </c>
      <c r="S705" s="1255" t="s">
        <v>195</v>
      </c>
      <c r="T705" s="1257">
        <v>24</v>
      </c>
      <c r="U705" s="681" t="s">
        <v>984</v>
      </c>
      <c r="V705" s="418"/>
    </row>
    <row r="706" spans="1:27" s="222" customFormat="1">
      <c r="A706" s="1106"/>
      <c r="B706" s="206"/>
      <c r="C706" s="287" t="s">
        <v>981</v>
      </c>
      <c r="D706" s="707"/>
      <c r="E706" s="708"/>
      <c r="F706" s="709"/>
      <c r="G706" s="683"/>
      <c r="H706" s="200"/>
      <c r="I706" s="684"/>
      <c r="J706" s="693"/>
      <c r="K706" s="707">
        <v>2</v>
      </c>
      <c r="L706" s="701"/>
      <c r="M706" s="690">
        <v>14.4</v>
      </c>
      <c r="N706" s="690">
        <f>SUM(2*2)*2</f>
        <v>8</v>
      </c>
      <c r="O706" s="642">
        <f>SUM(N706/M706)*2</f>
        <v>1.1111111111111112</v>
      </c>
      <c r="P706" s="824">
        <v>0.96330000000000005</v>
      </c>
      <c r="Q706" s="1571">
        <v>2</v>
      </c>
      <c r="R706" s="704">
        <f>O706*P706*Q706</f>
        <v>2.1406666666666667</v>
      </c>
      <c r="S706" s="710" t="s">
        <v>195</v>
      </c>
      <c r="T706" s="711">
        <v>24</v>
      </c>
      <c r="U706" s="681" t="s">
        <v>984</v>
      </c>
      <c r="V706" s="418"/>
    </row>
    <row r="707" spans="1:27" s="175" customFormat="1" ht="30">
      <c r="A707" s="1110"/>
      <c r="B707" s="348"/>
      <c r="C707" s="1376" t="s">
        <v>983</v>
      </c>
      <c r="D707" s="1377"/>
      <c r="E707" s="1041"/>
      <c r="F707" s="1378"/>
      <c r="G707" s="1379"/>
      <c r="H707" s="541"/>
      <c r="I707" s="1380"/>
      <c r="J707" s="1381"/>
      <c r="K707" s="1377">
        <f>SUM(2+0.12+1.2+1.2+0.12)</f>
        <v>4.6400000000000006</v>
      </c>
      <c r="L707" s="1382"/>
      <c r="M707" s="1153"/>
      <c r="N707" s="1372"/>
      <c r="O707" s="642">
        <f>SUM(2/0.1)</f>
        <v>20</v>
      </c>
      <c r="P707" s="824">
        <v>0.96330000000000005</v>
      </c>
      <c r="Q707" s="1571">
        <v>6</v>
      </c>
      <c r="R707" s="1566">
        <f>SUM(K707*O707*P707)*Q707</f>
        <v>536.36544000000004</v>
      </c>
      <c r="S707" s="1383" t="s">
        <v>195</v>
      </c>
      <c r="T707" s="1384">
        <v>25</v>
      </c>
      <c r="U707" s="508" t="s">
        <v>1040</v>
      </c>
      <c r="V707" s="429"/>
    </row>
    <row r="708" spans="1:27" s="175" customFormat="1" ht="30">
      <c r="A708" s="1110"/>
      <c r="B708" s="348"/>
      <c r="C708" s="522" t="s">
        <v>982</v>
      </c>
      <c r="D708" s="821"/>
      <c r="E708" s="1159"/>
      <c r="F708" s="823"/>
      <c r="G708" s="432"/>
      <c r="H708" s="301"/>
      <c r="I708" s="433"/>
      <c r="J708" s="1160"/>
      <c r="K708" s="821">
        <f>SUM( 2+1.9)</f>
        <v>3.9</v>
      </c>
      <c r="L708" s="626"/>
      <c r="M708" s="351"/>
      <c r="N708" s="352"/>
      <c r="O708" s="642"/>
      <c r="P708" s="824">
        <v>0.96330000000000005</v>
      </c>
      <c r="Q708" s="1571">
        <v>12</v>
      </c>
      <c r="R708" s="630">
        <f>SUM(K708*Q708*P708)</f>
        <v>45.082439999999998</v>
      </c>
      <c r="S708" s="629" t="s">
        <v>195</v>
      </c>
      <c r="T708" s="632">
        <v>25</v>
      </c>
      <c r="U708" s="508" t="s">
        <v>1040</v>
      </c>
      <c r="V708" s="429"/>
    </row>
    <row r="709" spans="1:27" s="175" customFormat="1" ht="30">
      <c r="A709" s="1110"/>
      <c r="B709" s="342"/>
      <c r="C709" s="495" t="s">
        <v>981</v>
      </c>
      <c r="D709" s="623"/>
      <c r="E709" s="535"/>
      <c r="F709" s="625"/>
      <c r="G709" s="533"/>
      <c r="H709" s="459"/>
      <c r="I709" s="545"/>
      <c r="J709" s="509"/>
      <c r="K709" s="623">
        <v>2</v>
      </c>
      <c r="L709" s="634"/>
      <c r="M709" s="505">
        <v>14.4</v>
      </c>
      <c r="N709" s="505">
        <f>SUM(2*2)*2</f>
        <v>8</v>
      </c>
      <c r="O709" s="642">
        <f>SUM(N709/M709)*2</f>
        <v>1.1111111111111112</v>
      </c>
      <c r="P709" s="824">
        <v>0.96330000000000005</v>
      </c>
      <c r="Q709" s="1571">
        <v>6</v>
      </c>
      <c r="R709" s="643">
        <f>O709*P709*Q709</f>
        <v>6.4220000000000006</v>
      </c>
      <c r="S709" s="827" t="s">
        <v>195</v>
      </c>
      <c r="T709" s="539">
        <v>25</v>
      </c>
      <c r="U709" s="508" t="s">
        <v>1040</v>
      </c>
      <c r="V709" s="429"/>
    </row>
    <row r="710" spans="1:27" s="176" customFormat="1">
      <c r="A710" s="1110"/>
      <c r="B710" s="452"/>
      <c r="C710" s="622" t="s">
        <v>660</v>
      </c>
      <c r="D710" s="1092">
        <v>31</v>
      </c>
      <c r="E710" s="1093" t="s">
        <v>299</v>
      </c>
      <c r="F710" s="1094">
        <v>12</v>
      </c>
      <c r="G710" s="1092">
        <v>42</v>
      </c>
      <c r="H710" s="1093" t="s">
        <v>299</v>
      </c>
      <c r="I710" s="1094">
        <v>2</v>
      </c>
      <c r="J710" s="434" t="s">
        <v>300</v>
      </c>
      <c r="K710" s="434">
        <f t="shared" ref="K710:K715" si="79">SUM(G710*20+I710)-(D710*20+F710)</f>
        <v>210</v>
      </c>
      <c r="L710" s="634"/>
      <c r="M710" s="1095"/>
      <c r="N710" s="1096"/>
      <c r="O710" s="827"/>
      <c r="P710" s="827">
        <v>0.96299999999999997</v>
      </c>
      <c r="Q710" s="558">
        <f>K710*2</f>
        <v>420</v>
      </c>
      <c r="R710" s="643">
        <f>P710*Q710</f>
        <v>404.46</v>
      </c>
      <c r="S710" s="631" t="s">
        <v>618</v>
      </c>
      <c r="T710" s="539">
        <v>27</v>
      </c>
      <c r="U710" s="492" t="s">
        <v>978</v>
      </c>
      <c r="V710" s="306"/>
      <c r="W710" s="175"/>
      <c r="X710" s="175"/>
      <c r="Y710" s="175"/>
      <c r="Z710" s="175"/>
      <c r="AA710" s="175"/>
    </row>
    <row r="711" spans="1:27" s="176" customFormat="1">
      <c r="A711" s="1110"/>
      <c r="B711" s="452"/>
      <c r="C711" s="1471" t="s">
        <v>405</v>
      </c>
      <c r="D711" s="1092">
        <f>D710</f>
        <v>31</v>
      </c>
      <c r="E711" s="1093" t="s">
        <v>299</v>
      </c>
      <c r="F711" s="1094">
        <f>F710</f>
        <v>12</v>
      </c>
      <c r="G711" s="1092">
        <v>42</v>
      </c>
      <c r="H711" s="1093" t="s">
        <v>299</v>
      </c>
      <c r="I711" s="1094">
        <v>2</v>
      </c>
      <c r="J711" s="558" t="s">
        <v>300</v>
      </c>
      <c r="K711" s="434">
        <f t="shared" si="79"/>
        <v>210</v>
      </c>
      <c r="L711" s="634"/>
      <c r="M711" s="631"/>
      <c r="N711" s="642"/>
      <c r="O711" s="631"/>
      <c r="P711" s="827">
        <v>0.73499999999999999</v>
      </c>
      <c r="Q711" s="558">
        <f>SUM(K711/0.7)*3</f>
        <v>900</v>
      </c>
      <c r="R711" s="643">
        <f>TRUNC(Q711*P711,3)</f>
        <v>661.5</v>
      </c>
      <c r="S711" s="631" t="s">
        <v>195</v>
      </c>
      <c r="T711" s="539">
        <v>27</v>
      </c>
      <c r="U711" s="492" t="s">
        <v>978</v>
      </c>
      <c r="V711" s="306">
        <f>V712</f>
        <v>0</v>
      </c>
      <c r="W711" s="175"/>
      <c r="X711" s="175"/>
      <c r="Y711" s="175"/>
      <c r="Z711" s="175"/>
      <c r="AA711" s="175"/>
    </row>
    <row r="712" spans="1:27" s="40" customFormat="1">
      <c r="A712" s="1110"/>
      <c r="B712" s="1008"/>
      <c r="C712" s="622" t="s">
        <v>617</v>
      </c>
      <c r="D712" s="1092">
        <f>D711</f>
        <v>31</v>
      </c>
      <c r="E712" s="1093" t="s">
        <v>299</v>
      </c>
      <c r="F712" s="1094">
        <f>F711</f>
        <v>12</v>
      </c>
      <c r="G712" s="1092">
        <v>42</v>
      </c>
      <c r="H712" s="1093" t="s">
        <v>299</v>
      </c>
      <c r="I712" s="1094">
        <v>2</v>
      </c>
      <c r="J712" s="558"/>
      <c r="K712" s="558">
        <f t="shared" si="79"/>
        <v>210</v>
      </c>
      <c r="L712" s="634"/>
      <c r="M712" s="1095"/>
      <c r="N712" s="1096"/>
      <c r="O712" s="827">
        <v>3</v>
      </c>
      <c r="P712" s="827">
        <v>65.86</v>
      </c>
      <c r="Q712" s="558">
        <f>K712/6</f>
        <v>35</v>
      </c>
      <c r="R712" s="1183">
        <f>P712*O712*Q712</f>
        <v>6915.2999999999993</v>
      </c>
      <c r="S712" s="631" t="s">
        <v>618</v>
      </c>
      <c r="T712" s="539">
        <v>27</v>
      </c>
      <c r="U712" s="492" t="s">
        <v>978</v>
      </c>
      <c r="V712" s="521"/>
    </row>
    <row r="713" spans="1:27" s="765" customFormat="1">
      <c r="A713" s="1771"/>
      <c r="B713" s="908"/>
      <c r="C713" s="1472" t="s">
        <v>660</v>
      </c>
      <c r="D713" s="1402">
        <v>42</v>
      </c>
      <c r="E713" s="1403" t="s">
        <v>299</v>
      </c>
      <c r="F713" s="1404">
        <v>2</v>
      </c>
      <c r="G713" s="1402">
        <v>43</v>
      </c>
      <c r="H713" s="1403" t="s">
        <v>299</v>
      </c>
      <c r="I713" s="1404">
        <v>14</v>
      </c>
      <c r="J713" s="439" t="s">
        <v>300</v>
      </c>
      <c r="K713" s="439">
        <f t="shared" si="79"/>
        <v>32</v>
      </c>
      <c r="L713" s="1405"/>
      <c r="M713" s="1473"/>
      <c r="N713" s="1474"/>
      <c r="O713" s="1407"/>
      <c r="P713" s="1407">
        <v>0.96299999999999997</v>
      </c>
      <c r="Q713" s="553">
        <f>K713*2</f>
        <v>64</v>
      </c>
      <c r="R713" s="1154">
        <f>P713*Q713</f>
        <v>61.631999999999998</v>
      </c>
      <c r="S713" s="914" t="s">
        <v>618</v>
      </c>
      <c r="T713" s="892">
        <v>28</v>
      </c>
      <c r="U713" s="595" t="s">
        <v>978</v>
      </c>
      <c r="V713" s="713"/>
      <c r="W713" s="688"/>
      <c r="X713" s="688"/>
      <c r="Y713" s="688"/>
      <c r="Z713" s="688"/>
      <c r="AA713" s="688"/>
    </row>
    <row r="714" spans="1:27" s="765" customFormat="1">
      <c r="A714" s="1771"/>
      <c r="B714" s="767"/>
      <c r="C714" s="1409" t="s">
        <v>405</v>
      </c>
      <c r="D714" s="1402">
        <v>42</v>
      </c>
      <c r="E714" s="1403" t="s">
        <v>299</v>
      </c>
      <c r="F714" s="1404">
        <v>2</v>
      </c>
      <c r="G714" s="1402">
        <v>43</v>
      </c>
      <c r="H714" s="1403" t="s">
        <v>299</v>
      </c>
      <c r="I714" s="1404">
        <v>14</v>
      </c>
      <c r="J714" s="553" t="s">
        <v>300</v>
      </c>
      <c r="K714" s="439">
        <f t="shared" si="79"/>
        <v>32</v>
      </c>
      <c r="L714" s="1405"/>
      <c r="M714" s="914"/>
      <c r="N714" s="1406"/>
      <c r="O714" s="914"/>
      <c r="P714" s="1407">
        <v>0.73499999999999999</v>
      </c>
      <c r="Q714" s="553">
        <f>SUM(K714/0.7)*3</f>
        <v>137.14285714285714</v>
      </c>
      <c r="R714" s="1154">
        <f>TRUNC(Q714*P714,3)</f>
        <v>100.8</v>
      </c>
      <c r="S714" s="914" t="s">
        <v>195</v>
      </c>
      <c r="T714" s="892">
        <v>28</v>
      </c>
      <c r="U714" s="595" t="s">
        <v>978</v>
      </c>
      <c r="V714" s="713">
        <f>V715</f>
        <v>0</v>
      </c>
      <c r="W714" s="688"/>
      <c r="X714" s="688"/>
      <c r="Y714" s="688"/>
      <c r="Z714" s="688"/>
      <c r="AA714" s="688"/>
    </row>
    <row r="715" spans="1:27" s="39" customFormat="1">
      <c r="A715" s="1771"/>
      <c r="B715" s="1001"/>
      <c r="C715" s="1472" t="s">
        <v>617</v>
      </c>
      <c r="D715" s="1402">
        <v>42</v>
      </c>
      <c r="E715" s="1403" t="s">
        <v>299</v>
      </c>
      <c r="F715" s="1404">
        <f>F714</f>
        <v>2</v>
      </c>
      <c r="G715" s="1402">
        <v>43</v>
      </c>
      <c r="H715" s="1403" t="s">
        <v>299</v>
      </c>
      <c r="I715" s="1404">
        <v>14</v>
      </c>
      <c r="J715" s="553"/>
      <c r="K715" s="553">
        <f t="shared" si="79"/>
        <v>32</v>
      </c>
      <c r="L715" s="1405"/>
      <c r="M715" s="1473"/>
      <c r="N715" s="1474"/>
      <c r="O715" s="1407">
        <v>3</v>
      </c>
      <c r="P715" s="1407">
        <v>65.86</v>
      </c>
      <c r="Q715" s="553">
        <f>K715/6</f>
        <v>5.333333333333333</v>
      </c>
      <c r="R715" s="1475">
        <f>P715*O715*Q715</f>
        <v>1053.7599999999998</v>
      </c>
      <c r="S715" s="914" t="s">
        <v>618</v>
      </c>
      <c r="T715" s="892">
        <v>28</v>
      </c>
      <c r="U715" s="595" t="s">
        <v>978</v>
      </c>
      <c r="V715" s="1177"/>
    </row>
    <row r="716" spans="1:27" s="175" customFormat="1">
      <c r="A716" s="1110"/>
      <c r="B716" s="358"/>
      <c r="C716" s="1476"/>
      <c r="D716" s="1477"/>
      <c r="E716" s="1478"/>
      <c r="F716" s="1715"/>
      <c r="G716" s="1480"/>
      <c r="H716" s="1481"/>
      <c r="I716" s="1482"/>
      <c r="J716" s="1483"/>
      <c r="K716" s="1479"/>
      <c r="L716" s="1484"/>
      <c r="M716" s="364"/>
      <c r="N716" s="364"/>
      <c r="O716" s="364"/>
      <c r="P716" s="1485"/>
      <c r="Q716" s="366"/>
      <c r="R716" s="1486"/>
      <c r="S716" s="1487"/>
      <c r="T716" s="1488"/>
      <c r="U716" s="1489"/>
      <c r="V716" s="429"/>
    </row>
    <row r="717" spans="1:27" s="40" customFormat="1">
      <c r="A717" s="1106"/>
      <c r="B717" s="1123"/>
      <c r="C717" s="240"/>
      <c r="D717" s="2539" t="s">
        <v>257</v>
      </c>
      <c r="E717" s="2540"/>
      <c r="F717" s="2540"/>
      <c r="G717" s="2540"/>
      <c r="H717" s="2540"/>
      <c r="I717" s="2541"/>
      <c r="J717" s="2488">
        <f>VLOOKUP(A719,'11 - FINANCEIRA'!$A$16:$AE$156,30,FALSE)</f>
        <v>35917</v>
      </c>
      <c r="K717" s="2489"/>
      <c r="L717" s="241" t="str">
        <f>VLOOKUP(A719,'11 - FINANCEIRA'!_xlnm.Print_Area,4,FALSE)</f>
        <v>kg</v>
      </c>
      <c r="M717" s="2646" t="s">
        <v>258</v>
      </c>
      <c r="N717" s="2647"/>
      <c r="O717" s="2647"/>
      <c r="P717" s="2647"/>
      <c r="Q717" s="2648"/>
      <c r="R717" s="242">
        <f>SUM(R682:R715)</f>
        <v>30173.077997223383</v>
      </c>
      <c r="S717" s="243" t="str">
        <f>L717</f>
        <v>kg</v>
      </c>
      <c r="T717" s="244"/>
      <c r="U717" s="1124"/>
      <c r="V717" s="418">
        <f>V718</f>
        <v>1216.1919999999991</v>
      </c>
    </row>
    <row r="718" spans="1:27" s="40" customFormat="1">
      <c r="A718" s="1106"/>
      <c r="B718" s="1123"/>
      <c r="C718" s="2182"/>
      <c r="D718" s="2521" t="s">
        <v>259</v>
      </c>
      <c r="E718" s="2522"/>
      <c r="F718" s="2522"/>
      <c r="G718" s="2522"/>
      <c r="H718" s="2522"/>
      <c r="I718" s="2523"/>
      <c r="J718" s="2515">
        <f>R717/J717</f>
        <v>0.84007790175191088</v>
      </c>
      <c r="K718" s="2516"/>
      <c r="L718" s="2554"/>
      <c r="M718" s="2556" t="s">
        <v>260</v>
      </c>
      <c r="N718" s="2557"/>
      <c r="O718" s="2557"/>
      <c r="P718" s="2557"/>
      <c r="Q718" s="2558"/>
      <c r="R718" s="248">
        <f>VLOOKUP(A719,'11 - FINANCEIRA'!_xlnm.Print_Area,8,FALSE)</f>
        <v>28956.885997223384</v>
      </c>
      <c r="S718" s="249" t="str">
        <f>L717</f>
        <v>kg</v>
      </c>
      <c r="T718" s="244"/>
      <c r="U718" s="1124"/>
      <c r="V718" s="418">
        <f>V719</f>
        <v>1216.1919999999991</v>
      </c>
    </row>
    <row r="719" spans="1:27" s="40" customFormat="1">
      <c r="A719" s="1106" t="s">
        <v>60</v>
      </c>
      <c r="B719" s="250"/>
      <c r="C719" s="598"/>
      <c r="D719" s="2539"/>
      <c r="E719" s="2540"/>
      <c r="F719" s="2540"/>
      <c r="G719" s="2540"/>
      <c r="H719" s="2540"/>
      <c r="I719" s="2541"/>
      <c r="J719" s="2517"/>
      <c r="K719" s="2518"/>
      <c r="L719" s="2555"/>
      <c r="M719" s="2556" t="s">
        <v>261</v>
      </c>
      <c r="N719" s="2557"/>
      <c r="O719" s="2557"/>
      <c r="P719" s="2557"/>
      <c r="Q719" s="2558"/>
      <c r="R719" s="248">
        <f>R717-R718</f>
        <v>1216.1919999999991</v>
      </c>
      <c r="S719" s="249" t="str">
        <f>L717</f>
        <v>kg</v>
      </c>
      <c r="T719" s="562"/>
      <c r="U719" s="563"/>
      <c r="V719" s="418">
        <f>R719</f>
        <v>1216.1919999999991</v>
      </c>
    </row>
    <row r="720" spans="1:27" s="40" customFormat="1" hidden="1">
      <c r="A720" s="1106"/>
      <c r="B720" s="2087"/>
      <c r="C720" s="2088"/>
      <c r="D720" s="2089"/>
      <c r="E720" s="2090"/>
      <c r="F720" s="2089"/>
      <c r="G720" s="2089"/>
      <c r="H720" s="2089"/>
      <c r="I720" s="2089"/>
      <c r="J720" s="2091"/>
      <c r="K720" s="2092"/>
      <c r="L720" s="2093"/>
      <c r="M720" s="2094"/>
      <c r="N720" s="2094"/>
      <c r="O720" s="2094"/>
      <c r="P720" s="2094"/>
      <c r="Q720" s="2094"/>
      <c r="R720" s="2095"/>
      <c r="S720" s="2096"/>
      <c r="T720" s="244"/>
      <c r="U720" s="1124"/>
      <c r="V720" s="418" t="e">
        <f>SUM(V680:V719)</f>
        <v>#REF!</v>
      </c>
    </row>
    <row r="721" spans="1:27" s="176" customFormat="1" ht="47.25" hidden="1" customHeight="1">
      <c r="A721" s="1106"/>
      <c r="B721" s="2463">
        <f>VLOOKUP(A743,'11 - FINANCEIRA'!_xlnm.Print_Area,2,FALSE)</f>
        <v>100322</v>
      </c>
      <c r="C721" s="2465" t="str">
        <f>VLOOKUP(A743,'11 - FINANCEIRA'!_xlnm.Print_Area,3,FALSE)</f>
        <v>Lastro Com Material Granular (Pedra Britada N.3), Aplicado Em Pisos Ou Lajes Sobre Solo, Espessura De *10 Cm*. Af_07/2019</v>
      </c>
      <c r="D721" s="2472" t="s">
        <v>242</v>
      </c>
      <c r="E721" s="2473"/>
      <c r="F721" s="2473"/>
      <c r="G721" s="2473"/>
      <c r="H721" s="2473"/>
      <c r="I721" s="2474"/>
      <c r="J721" s="2467" t="s">
        <v>243</v>
      </c>
      <c r="K721" s="2467" t="s">
        <v>244</v>
      </c>
      <c r="L721" s="2467" t="s">
        <v>245</v>
      </c>
      <c r="M721" s="2467" t="s">
        <v>246</v>
      </c>
      <c r="N721" s="2467" t="s">
        <v>247</v>
      </c>
      <c r="O721" s="2467" t="s">
        <v>248</v>
      </c>
      <c r="P721" s="173" t="s">
        <v>348</v>
      </c>
      <c r="Q721" s="2579" t="s">
        <v>250</v>
      </c>
      <c r="R721" s="2579" t="s">
        <v>139</v>
      </c>
      <c r="S721" s="2467" t="s">
        <v>251</v>
      </c>
      <c r="T721" s="2467" t="s">
        <v>252</v>
      </c>
      <c r="U721" s="2584" t="s">
        <v>253</v>
      </c>
      <c r="V721" s="418">
        <f>V722</f>
        <v>0</v>
      </c>
      <c r="W721" s="175"/>
      <c r="X721" s="175"/>
      <c r="Y721" s="175"/>
      <c r="Z721" s="175"/>
      <c r="AA721" s="175"/>
    </row>
    <row r="722" spans="1:27" s="176" customFormat="1" hidden="1">
      <c r="A722" s="1106"/>
      <c r="B722" s="2464"/>
      <c r="C722" s="2466"/>
      <c r="D722" s="2475" t="s">
        <v>254</v>
      </c>
      <c r="E722" s="2476"/>
      <c r="F722" s="2477"/>
      <c r="G722" s="2469" t="s">
        <v>255</v>
      </c>
      <c r="H722" s="2470"/>
      <c r="I722" s="2471"/>
      <c r="J722" s="2468"/>
      <c r="K722" s="2468"/>
      <c r="L722" s="2468"/>
      <c r="M722" s="2468"/>
      <c r="N722" s="2468"/>
      <c r="O722" s="2468"/>
      <c r="P722" s="177"/>
      <c r="Q722" s="2580"/>
      <c r="R722" s="2580"/>
      <c r="S722" s="2468"/>
      <c r="T722" s="2468"/>
      <c r="U722" s="2585"/>
      <c r="V722" s="418">
        <f>V723</f>
        <v>0</v>
      </c>
      <c r="W722" s="175"/>
      <c r="X722" s="175"/>
      <c r="Y722" s="175"/>
      <c r="Z722" s="175"/>
      <c r="AA722" s="175"/>
    </row>
    <row r="723" spans="1:27" s="176" customFormat="1" hidden="1">
      <c r="A723" s="1110"/>
      <c r="B723" s="336"/>
      <c r="C723" s="1050" t="s">
        <v>356</v>
      </c>
      <c r="D723" s="419">
        <v>-2</v>
      </c>
      <c r="E723" s="420" t="s">
        <v>299</v>
      </c>
      <c r="F723" s="421">
        <v>17.78</v>
      </c>
      <c r="G723" s="422">
        <v>2</v>
      </c>
      <c r="H723" s="423" t="s">
        <v>299</v>
      </c>
      <c r="I723" s="424">
        <v>11</v>
      </c>
      <c r="J723" s="275" t="s">
        <v>300</v>
      </c>
      <c r="K723" s="489">
        <f>20*(G723-D723)+I723-F723</f>
        <v>73.22</v>
      </c>
      <c r="L723" s="275">
        <v>7.6</v>
      </c>
      <c r="M723" s="489">
        <v>0.3</v>
      </c>
      <c r="N723" s="1046"/>
      <c r="O723" s="483">
        <f t="shared" ref="O723:O729" si="80">TRUNC(K723*L723*M723,3)</f>
        <v>166.941</v>
      </c>
      <c r="P723" s="338"/>
      <c r="Q723" s="275"/>
      <c r="R723" s="191">
        <f t="shared" ref="R723:R729" si="81">TRUNC(O723,3)</f>
        <v>166.941</v>
      </c>
      <c r="S723" s="275" t="s">
        <v>164</v>
      </c>
      <c r="T723" s="276">
        <v>8</v>
      </c>
      <c r="U723" s="428" t="s">
        <v>339</v>
      </c>
      <c r="V723" s="429">
        <f>V724</f>
        <v>0</v>
      </c>
      <c r="W723" s="175"/>
      <c r="X723" s="175"/>
      <c r="Y723" s="175"/>
      <c r="Z723" s="175"/>
      <c r="AA723" s="175"/>
    </row>
    <row r="724" spans="1:27" s="686" customFormat="1" hidden="1">
      <c r="A724" s="1106"/>
      <c r="B724" s="195"/>
      <c r="C724" s="1051" t="s">
        <v>357</v>
      </c>
      <c r="D724" s="676">
        <f>G723</f>
        <v>2</v>
      </c>
      <c r="E724" s="198" t="s">
        <v>299</v>
      </c>
      <c r="F724" s="677">
        <f>I723</f>
        <v>11</v>
      </c>
      <c r="G724" s="678">
        <v>6</v>
      </c>
      <c r="H724" s="282" t="s">
        <v>299</v>
      </c>
      <c r="I724" s="679">
        <v>14</v>
      </c>
      <c r="J724" s="284" t="s">
        <v>300</v>
      </c>
      <c r="K724" s="700">
        <f>SUM(G724*20+I724)-(D724*20+F724)</f>
        <v>83</v>
      </c>
      <c r="L724" s="284">
        <v>3.8</v>
      </c>
      <c r="M724" s="694">
        <v>0.3</v>
      </c>
      <c r="N724" s="1047"/>
      <c r="O724" s="278">
        <f t="shared" si="80"/>
        <v>94.62</v>
      </c>
      <c r="P724" s="285"/>
      <c r="Q724" s="280"/>
      <c r="R724" s="203">
        <f t="shared" si="81"/>
        <v>94.62</v>
      </c>
      <c r="S724" s="284" t="s">
        <v>164</v>
      </c>
      <c r="T724" s="286">
        <v>10</v>
      </c>
      <c r="U724" s="753"/>
      <c r="V724" s="418">
        <f>V725</f>
        <v>0</v>
      </c>
      <c r="W724" s="222"/>
      <c r="X724" s="222"/>
      <c r="Y724" s="222"/>
      <c r="Z724" s="222"/>
      <c r="AA724" s="222"/>
    </row>
    <row r="725" spans="1:27" s="176" customFormat="1" hidden="1">
      <c r="A725" s="1110"/>
      <c r="B725" s="296"/>
      <c r="C725" s="1020" t="s">
        <v>357</v>
      </c>
      <c r="D725" s="676">
        <f>G724</f>
        <v>6</v>
      </c>
      <c r="E725" s="198" t="s">
        <v>299</v>
      </c>
      <c r="F725" s="677">
        <f>I724</f>
        <v>14</v>
      </c>
      <c r="G725" s="533">
        <v>7</v>
      </c>
      <c r="H725" s="459" t="s">
        <v>299</v>
      </c>
      <c r="I725" s="545">
        <v>14</v>
      </c>
      <c r="J725" s="340" t="s">
        <v>300</v>
      </c>
      <c r="K725" s="558">
        <f>SUM(G725*20+I725)-(D725*20+F725)</f>
        <v>20</v>
      </c>
      <c r="L725" s="340">
        <v>3.8</v>
      </c>
      <c r="M725" s="498">
        <v>0.2</v>
      </c>
      <c r="N725" s="1048"/>
      <c r="O725" s="560">
        <f t="shared" si="80"/>
        <v>15.2</v>
      </c>
      <c r="P725" s="461"/>
      <c r="Q725" s="463"/>
      <c r="R725" s="462">
        <f t="shared" si="81"/>
        <v>15.2</v>
      </c>
      <c r="S725" s="340" t="s">
        <v>164</v>
      </c>
      <c r="T725" s="347">
        <v>10</v>
      </c>
      <c r="U725" s="435" t="s">
        <v>418</v>
      </c>
      <c r="V725" s="429">
        <f>V726</f>
        <v>0</v>
      </c>
      <c r="W725" s="175"/>
      <c r="X725" s="175"/>
      <c r="Y725" s="175"/>
      <c r="Z725" s="175"/>
      <c r="AA725" s="175"/>
    </row>
    <row r="726" spans="1:27" s="176" customFormat="1" hidden="1">
      <c r="A726" s="1110"/>
      <c r="B726" s="296"/>
      <c r="C726" s="1020" t="s">
        <v>357</v>
      </c>
      <c r="D726" s="676">
        <f>G725</f>
        <v>7</v>
      </c>
      <c r="E726" s="198" t="s">
        <v>299</v>
      </c>
      <c r="F726" s="677">
        <f>I725</f>
        <v>14</v>
      </c>
      <c r="G726" s="533">
        <v>8</v>
      </c>
      <c r="H726" s="459" t="s">
        <v>299</v>
      </c>
      <c r="I726" s="545">
        <v>4</v>
      </c>
      <c r="J726" s="340" t="s">
        <v>300</v>
      </c>
      <c r="K726" s="558">
        <f>SUM(G726*20+I726)-(D726*20+F726)</f>
        <v>10</v>
      </c>
      <c r="L726" s="340">
        <v>3.8</v>
      </c>
      <c r="M726" s="498">
        <v>0.5</v>
      </c>
      <c r="N726" s="1048"/>
      <c r="O726" s="560">
        <f t="shared" si="80"/>
        <v>19</v>
      </c>
      <c r="P726" s="461"/>
      <c r="Q726" s="463"/>
      <c r="R726" s="462">
        <f t="shared" si="81"/>
        <v>19</v>
      </c>
      <c r="S726" s="340" t="s">
        <v>164</v>
      </c>
      <c r="T726" s="347">
        <v>11</v>
      </c>
      <c r="U726" s="408"/>
      <c r="V726" s="429">
        <f>V741</f>
        <v>0</v>
      </c>
      <c r="W726" s="175"/>
      <c r="X726" s="175"/>
      <c r="Y726" s="175"/>
      <c r="Z726" s="175"/>
      <c r="AA726" s="175"/>
    </row>
    <row r="727" spans="1:27" s="176" customFormat="1" hidden="1">
      <c r="A727" s="1110"/>
      <c r="B727" s="296"/>
      <c r="C727" s="1020" t="s">
        <v>357</v>
      </c>
      <c r="D727" s="676">
        <f>G726</f>
        <v>8</v>
      </c>
      <c r="E727" s="198" t="s">
        <v>299</v>
      </c>
      <c r="F727" s="677">
        <f>I726</f>
        <v>4</v>
      </c>
      <c r="G727" s="533">
        <v>9</v>
      </c>
      <c r="H727" s="459" t="s">
        <v>299</v>
      </c>
      <c r="I727" s="545">
        <v>13</v>
      </c>
      <c r="J727" s="340" t="s">
        <v>300</v>
      </c>
      <c r="K727" s="434">
        <f t="shared" ref="K727:K734" si="82">(G727-D727)*20+I727-F727</f>
        <v>29</v>
      </c>
      <c r="L727" s="340">
        <v>6</v>
      </c>
      <c r="M727" s="498">
        <v>0.5</v>
      </c>
      <c r="N727" s="1048"/>
      <c r="O727" s="560">
        <f t="shared" si="80"/>
        <v>87</v>
      </c>
      <c r="P727" s="461"/>
      <c r="Q727" s="463"/>
      <c r="R727" s="462">
        <f t="shared" si="81"/>
        <v>87</v>
      </c>
      <c r="S727" s="340" t="s">
        <v>164</v>
      </c>
      <c r="T727" s="347">
        <v>18</v>
      </c>
      <c r="U727" s="408"/>
      <c r="V727" s="429">
        <f>V742</f>
        <v>0</v>
      </c>
      <c r="W727" s="175"/>
      <c r="X727" s="175"/>
      <c r="Y727" s="175"/>
      <c r="Z727" s="175"/>
      <c r="AA727" s="175"/>
    </row>
    <row r="728" spans="1:27" s="40" customFormat="1" hidden="1">
      <c r="A728" s="1110"/>
      <c r="B728" s="1008"/>
      <c r="C728" s="1020" t="s">
        <v>357</v>
      </c>
      <c r="D728" s="676">
        <f>G727</f>
        <v>9</v>
      </c>
      <c r="E728" s="198" t="s">
        <v>299</v>
      </c>
      <c r="F728" s="677">
        <f>I727</f>
        <v>13</v>
      </c>
      <c r="G728" s="455">
        <v>11</v>
      </c>
      <c r="H728" s="456" t="s">
        <v>299</v>
      </c>
      <c r="I728" s="457">
        <v>4</v>
      </c>
      <c r="J728" s="509" t="s">
        <v>300</v>
      </c>
      <c r="K728" s="558">
        <f t="shared" si="82"/>
        <v>31</v>
      </c>
      <c r="L728" s="509">
        <v>4.2</v>
      </c>
      <c r="M728" s="625">
        <v>0.5</v>
      </c>
      <c r="N728" s="1049"/>
      <c r="O728" s="538">
        <f t="shared" si="80"/>
        <v>65.099999999999994</v>
      </c>
      <c r="P728" s="536"/>
      <c r="Q728" s="534"/>
      <c r="R728" s="537">
        <f t="shared" si="81"/>
        <v>65.099999999999994</v>
      </c>
      <c r="S728" s="509" t="s">
        <v>164</v>
      </c>
      <c r="T728" s="539">
        <v>19</v>
      </c>
      <c r="U728" s="492" t="s">
        <v>728</v>
      </c>
      <c r="V728" s="829"/>
    </row>
    <row r="729" spans="1:27" s="40" customFormat="1" hidden="1">
      <c r="A729" s="1110"/>
      <c r="B729" s="1008"/>
      <c r="C729" s="1020" t="s">
        <v>795</v>
      </c>
      <c r="D729" s="623">
        <v>9</v>
      </c>
      <c r="E729" s="535" t="s">
        <v>299</v>
      </c>
      <c r="F729" s="625">
        <v>0</v>
      </c>
      <c r="G729" s="455">
        <v>11</v>
      </c>
      <c r="H729" s="456" t="s">
        <v>299</v>
      </c>
      <c r="I729" s="457">
        <v>17</v>
      </c>
      <c r="J729" s="509" t="s">
        <v>300</v>
      </c>
      <c r="K729" s="558">
        <f t="shared" si="82"/>
        <v>57</v>
      </c>
      <c r="L729" s="509">
        <v>4</v>
      </c>
      <c r="M729" s="625">
        <v>0.1</v>
      </c>
      <c r="N729" s="535"/>
      <c r="O729" s="538">
        <f t="shared" si="80"/>
        <v>22.8</v>
      </c>
      <c r="P729" s="536"/>
      <c r="Q729" s="534"/>
      <c r="R729" s="537">
        <f t="shared" si="81"/>
        <v>22.8</v>
      </c>
      <c r="S729" s="509" t="s">
        <v>164</v>
      </c>
      <c r="T729" s="539">
        <v>19</v>
      </c>
      <c r="U729" s="492" t="s">
        <v>727</v>
      </c>
      <c r="V729" s="829"/>
    </row>
    <row r="730" spans="1:27" s="40" customFormat="1" hidden="1">
      <c r="A730" s="1110"/>
      <c r="B730" s="1008"/>
      <c r="C730" s="1020" t="s">
        <v>357</v>
      </c>
      <c r="D730" s="623">
        <f>G728</f>
        <v>11</v>
      </c>
      <c r="E730" s="535" t="s">
        <v>299</v>
      </c>
      <c r="F730" s="625">
        <f>I728</f>
        <v>4</v>
      </c>
      <c r="G730" s="455">
        <v>11</v>
      </c>
      <c r="H730" s="456" t="s">
        <v>299</v>
      </c>
      <c r="I730" s="457">
        <v>7</v>
      </c>
      <c r="J730" s="509" t="s">
        <v>300</v>
      </c>
      <c r="K730" s="558">
        <f t="shared" si="82"/>
        <v>3</v>
      </c>
      <c r="L730" s="509">
        <v>4.2</v>
      </c>
      <c r="M730" s="625">
        <v>0.87</v>
      </c>
      <c r="N730" s="535"/>
      <c r="O730" s="538">
        <f t="shared" ref="O730:O735" si="83">TRUNC(K730*L730*M730,3)</f>
        <v>10.962</v>
      </c>
      <c r="P730" s="536"/>
      <c r="Q730" s="534"/>
      <c r="R730" s="537">
        <f t="shared" ref="R730:R735" si="84">TRUNC(O730,3)</f>
        <v>10.962</v>
      </c>
      <c r="S730" s="509" t="s">
        <v>164</v>
      </c>
      <c r="T730" s="539">
        <v>20</v>
      </c>
      <c r="U730" s="492"/>
      <c r="V730" s="829"/>
    </row>
    <row r="731" spans="1:27" s="40" customFormat="1" hidden="1">
      <c r="A731" s="1110"/>
      <c r="B731" s="1008"/>
      <c r="C731" s="1020" t="s">
        <v>357</v>
      </c>
      <c r="D731" s="623">
        <v>9</v>
      </c>
      <c r="E731" s="535" t="s">
        <v>299</v>
      </c>
      <c r="F731" s="625">
        <v>0</v>
      </c>
      <c r="G731" s="455">
        <v>11</v>
      </c>
      <c r="H731" s="456" t="s">
        <v>299</v>
      </c>
      <c r="I731" s="457">
        <v>17</v>
      </c>
      <c r="J731" s="509" t="s">
        <v>300</v>
      </c>
      <c r="K731" s="558">
        <f t="shared" si="82"/>
        <v>57</v>
      </c>
      <c r="L731" s="509">
        <v>4</v>
      </c>
      <c r="M731" s="625">
        <v>0.1</v>
      </c>
      <c r="N731" s="535"/>
      <c r="O731" s="538">
        <f t="shared" si="83"/>
        <v>22.8</v>
      </c>
      <c r="P731" s="536"/>
      <c r="Q731" s="534"/>
      <c r="R731" s="537">
        <f t="shared" si="84"/>
        <v>22.8</v>
      </c>
      <c r="S731" s="509" t="s">
        <v>164</v>
      </c>
      <c r="T731" s="539">
        <v>21</v>
      </c>
      <c r="U731" s="492" t="s">
        <v>796</v>
      </c>
      <c r="V731" s="829"/>
    </row>
    <row r="732" spans="1:27" s="40" customFormat="1" hidden="1">
      <c r="A732" s="1110"/>
      <c r="B732" s="1008"/>
      <c r="C732" s="1020" t="s">
        <v>794</v>
      </c>
      <c r="D732" s="496">
        <v>8</v>
      </c>
      <c r="E732" s="464" t="s">
        <v>299</v>
      </c>
      <c r="F732" s="498">
        <v>10</v>
      </c>
      <c r="G732" s="533">
        <v>9</v>
      </c>
      <c r="H732" s="459" t="s">
        <v>299</v>
      </c>
      <c r="I732" s="545">
        <v>6</v>
      </c>
      <c r="J732" s="509" t="s">
        <v>300</v>
      </c>
      <c r="K732" s="558">
        <f t="shared" si="82"/>
        <v>16</v>
      </c>
      <c r="L732" s="509">
        <v>4</v>
      </c>
      <c r="M732" s="625">
        <v>0.5</v>
      </c>
      <c r="N732" s="535"/>
      <c r="O732" s="538">
        <f t="shared" si="83"/>
        <v>32</v>
      </c>
      <c r="P732" s="536"/>
      <c r="Q732" s="534"/>
      <c r="R732" s="537">
        <f t="shared" si="84"/>
        <v>32</v>
      </c>
      <c r="S732" s="509" t="s">
        <v>164</v>
      </c>
      <c r="T732" s="539">
        <v>21</v>
      </c>
      <c r="U732" s="492" t="s">
        <v>779</v>
      </c>
      <c r="V732" s="829"/>
    </row>
    <row r="733" spans="1:27" s="40" customFormat="1" hidden="1">
      <c r="A733" s="1110"/>
      <c r="B733" s="1008"/>
      <c r="C733" s="1020" t="s">
        <v>357</v>
      </c>
      <c r="D733" s="496">
        <f>G732</f>
        <v>9</v>
      </c>
      <c r="E733" s="464" t="s">
        <v>299</v>
      </c>
      <c r="F733" s="498">
        <f>I732</f>
        <v>6</v>
      </c>
      <c r="G733" s="455">
        <v>11</v>
      </c>
      <c r="H733" s="456" t="s">
        <v>299</v>
      </c>
      <c r="I733" s="457">
        <v>4</v>
      </c>
      <c r="J733" s="509" t="s">
        <v>300</v>
      </c>
      <c r="K733" s="558">
        <f t="shared" si="82"/>
        <v>38</v>
      </c>
      <c r="L733" s="509">
        <f>7-L728</f>
        <v>2.8</v>
      </c>
      <c r="M733" s="625">
        <f>1.5-M728</f>
        <v>1</v>
      </c>
      <c r="N733" s="535"/>
      <c r="O733" s="538">
        <f t="shared" si="83"/>
        <v>106.4</v>
      </c>
      <c r="P733" s="536"/>
      <c r="Q733" s="534"/>
      <c r="R733" s="537">
        <f t="shared" si="84"/>
        <v>106.4</v>
      </c>
      <c r="S733" s="509" t="s">
        <v>164</v>
      </c>
      <c r="T733" s="539">
        <v>19</v>
      </c>
      <c r="U733" s="492" t="s">
        <v>797</v>
      </c>
      <c r="V733" s="829"/>
    </row>
    <row r="734" spans="1:27" s="40" customFormat="1" hidden="1">
      <c r="A734" s="1110"/>
      <c r="B734" s="1008"/>
      <c r="C734" s="1020" t="s">
        <v>357</v>
      </c>
      <c r="D734" s="496">
        <f>G730</f>
        <v>11</v>
      </c>
      <c r="E734" s="464" t="s">
        <v>299</v>
      </c>
      <c r="F734" s="498">
        <f>I730</f>
        <v>7</v>
      </c>
      <c r="G734" s="533">
        <v>12</v>
      </c>
      <c r="H734" s="459" t="s">
        <v>299</v>
      </c>
      <c r="I734" s="545">
        <v>19</v>
      </c>
      <c r="J734" s="509" t="s">
        <v>300</v>
      </c>
      <c r="K734" s="558">
        <f t="shared" si="82"/>
        <v>32</v>
      </c>
      <c r="L734" s="509">
        <v>4.2</v>
      </c>
      <c r="M734" s="625">
        <v>0.5</v>
      </c>
      <c r="N734" s="535"/>
      <c r="O734" s="538">
        <f t="shared" si="83"/>
        <v>67.2</v>
      </c>
      <c r="P734" s="536"/>
      <c r="Q734" s="534"/>
      <c r="R734" s="537">
        <f t="shared" si="84"/>
        <v>67.2</v>
      </c>
      <c r="S734" s="509" t="s">
        <v>164</v>
      </c>
      <c r="T734" s="539">
        <v>21</v>
      </c>
      <c r="U734" s="1009"/>
      <c r="V734" s="829"/>
    </row>
    <row r="735" spans="1:27" s="40" customFormat="1" hidden="1">
      <c r="A735" s="1110"/>
      <c r="B735" s="1008"/>
      <c r="C735" s="1020" t="s">
        <v>916</v>
      </c>
      <c r="D735" s="623">
        <v>25</v>
      </c>
      <c r="E735" s="535" t="s">
        <v>299</v>
      </c>
      <c r="F735" s="625">
        <v>16</v>
      </c>
      <c r="G735" s="455">
        <v>31</v>
      </c>
      <c r="H735" s="456" t="s">
        <v>299</v>
      </c>
      <c r="I735" s="457">
        <v>12</v>
      </c>
      <c r="J735" s="509" t="s">
        <v>300</v>
      </c>
      <c r="K735" s="558">
        <f>(G735-D735)*20+I735-F735</f>
        <v>116</v>
      </c>
      <c r="L735" s="509">
        <v>3.2</v>
      </c>
      <c r="M735" s="625">
        <v>0.5</v>
      </c>
      <c r="N735" s="535"/>
      <c r="O735" s="538">
        <f t="shared" si="83"/>
        <v>185.6</v>
      </c>
      <c r="P735" s="536"/>
      <c r="Q735" s="534"/>
      <c r="R735" s="537">
        <f t="shared" si="84"/>
        <v>185.6</v>
      </c>
      <c r="S735" s="509" t="s">
        <v>164</v>
      </c>
      <c r="T735" s="539">
        <v>23</v>
      </c>
      <c r="U735" s="1009" t="s">
        <v>932</v>
      </c>
      <c r="V735" s="829" t="s">
        <v>945</v>
      </c>
    </row>
    <row r="736" spans="1:27" s="40" customFormat="1" hidden="1">
      <c r="A736" s="1110"/>
      <c r="B736" s="1008"/>
      <c r="C736" s="1020" t="s">
        <v>916</v>
      </c>
      <c r="D736" s="623">
        <v>25</v>
      </c>
      <c r="E736" s="535" t="s">
        <v>299</v>
      </c>
      <c r="F736" s="625">
        <v>16</v>
      </c>
      <c r="G736" s="455"/>
      <c r="H736" s="456"/>
      <c r="I736" s="457"/>
      <c r="J736" s="509" t="s">
        <v>300</v>
      </c>
      <c r="K736" s="558"/>
      <c r="L736" s="509">
        <f>SUM(2.6+1.5)/2</f>
        <v>2.0499999999999998</v>
      </c>
      <c r="M736" s="625">
        <v>0.5</v>
      </c>
      <c r="N736" s="535"/>
      <c r="O736" s="538">
        <f>L736*M736</f>
        <v>1.0249999999999999</v>
      </c>
      <c r="P736" s="536"/>
      <c r="Q736" s="534"/>
      <c r="R736" s="537">
        <f>TRUNC(O736,3)</f>
        <v>1.0249999999999999</v>
      </c>
      <c r="S736" s="509" t="s">
        <v>164</v>
      </c>
      <c r="T736" s="539">
        <v>24</v>
      </c>
      <c r="U736" s="1009" t="s">
        <v>958</v>
      </c>
      <c r="V736" s="829" t="s">
        <v>945</v>
      </c>
    </row>
    <row r="737" spans="1:27" s="40" customFormat="1" hidden="1">
      <c r="A737" s="1110"/>
      <c r="B737" s="1008"/>
      <c r="C737" s="1020" t="s">
        <v>916</v>
      </c>
      <c r="D737" s="623">
        <v>40</v>
      </c>
      <c r="E737" s="535" t="s">
        <v>299</v>
      </c>
      <c r="F737" s="625">
        <v>16</v>
      </c>
      <c r="G737" s="455">
        <v>41</v>
      </c>
      <c r="H737" s="456" t="s">
        <v>299</v>
      </c>
      <c r="I737" s="457">
        <v>16</v>
      </c>
      <c r="J737" s="509" t="s">
        <v>300</v>
      </c>
      <c r="K737" s="558">
        <f>(G737-D737)*20+I737-F737</f>
        <v>20</v>
      </c>
      <c r="L737" s="509">
        <v>3.2</v>
      </c>
      <c r="M737" s="625">
        <v>0.5</v>
      </c>
      <c r="N737" s="535"/>
      <c r="O737" s="538">
        <f>TRUNC(K737*L737*M737,3)</f>
        <v>32</v>
      </c>
      <c r="P737" s="536"/>
      <c r="Q737" s="534"/>
      <c r="R737" s="537">
        <f>TRUNC(O737,3)</f>
        <v>32</v>
      </c>
      <c r="S737" s="509" t="s">
        <v>164</v>
      </c>
      <c r="T737" s="539">
        <v>26</v>
      </c>
      <c r="U737" s="1009"/>
      <c r="V737" s="829"/>
    </row>
    <row r="738" spans="1:27" s="40" customFormat="1" hidden="1">
      <c r="A738" s="1110"/>
      <c r="B738" s="1008"/>
      <c r="C738" s="1020" t="s">
        <v>916</v>
      </c>
      <c r="D738" s="623">
        <v>41</v>
      </c>
      <c r="E738" s="535" t="s">
        <v>299</v>
      </c>
      <c r="F738" s="625">
        <v>16</v>
      </c>
      <c r="G738" s="455">
        <v>42</v>
      </c>
      <c r="H738" s="456" t="s">
        <v>299</v>
      </c>
      <c r="I738" s="457">
        <v>12</v>
      </c>
      <c r="J738" s="509" t="s">
        <v>300</v>
      </c>
      <c r="K738" s="558">
        <f>(G738-D738)*20+I738-F738</f>
        <v>16</v>
      </c>
      <c r="L738" s="509">
        <v>3.2</v>
      </c>
      <c r="M738" s="625">
        <v>0.8</v>
      </c>
      <c r="N738" s="535"/>
      <c r="O738" s="538">
        <f>TRUNC(K738*L738*M738,3)</f>
        <v>40.96</v>
      </c>
      <c r="P738" s="536"/>
      <c r="Q738" s="534"/>
      <c r="R738" s="537">
        <f>TRUNC(O738,3)</f>
        <v>40.96</v>
      </c>
      <c r="S738" s="509" t="s">
        <v>164</v>
      </c>
      <c r="T738" s="539">
        <v>27</v>
      </c>
      <c r="U738" s="1009"/>
      <c r="V738" s="829"/>
    </row>
    <row r="739" spans="1:27" s="40" customFormat="1" hidden="1">
      <c r="A739" s="1110"/>
      <c r="B739" s="1008"/>
      <c r="C739" s="1020" t="s">
        <v>1114</v>
      </c>
      <c r="D739" s="623">
        <v>31</v>
      </c>
      <c r="E739" s="535" t="s">
        <v>299</v>
      </c>
      <c r="F739" s="625">
        <v>12</v>
      </c>
      <c r="G739" s="455">
        <v>36</v>
      </c>
      <c r="H739" s="456" t="s">
        <v>299</v>
      </c>
      <c r="I739" s="457">
        <v>12</v>
      </c>
      <c r="J739" s="509" t="s">
        <v>300</v>
      </c>
      <c r="K739" s="558">
        <f>(G739-D739)*20+I739-F739</f>
        <v>100</v>
      </c>
      <c r="L739" s="509">
        <v>3.3</v>
      </c>
      <c r="M739" s="625">
        <v>0.1</v>
      </c>
      <c r="N739" s="535"/>
      <c r="O739" s="538">
        <f>TRUNC(K739*L739*M739,3)</f>
        <v>33</v>
      </c>
      <c r="P739" s="536"/>
      <c r="Q739" s="534"/>
      <c r="R739" s="537">
        <f>TRUNC(O739,3)</f>
        <v>33</v>
      </c>
      <c r="S739" s="509" t="s">
        <v>164</v>
      </c>
      <c r="T739" s="539">
        <v>27</v>
      </c>
      <c r="U739" s="1009"/>
      <c r="V739" s="829"/>
    </row>
    <row r="740" spans="1:27" s="39" customFormat="1" hidden="1">
      <c r="A740" s="1771"/>
      <c r="B740" s="1394"/>
      <c r="C740" s="1025"/>
      <c r="D740" s="1173"/>
      <c r="E740" s="1027"/>
      <c r="F740" s="1717"/>
      <c r="G740" s="1395"/>
      <c r="H740" s="1396"/>
      <c r="I740" s="1397"/>
      <c r="J740" s="1718"/>
      <c r="K740" s="1408"/>
      <c r="L740" s="1718"/>
      <c r="M740" s="1408"/>
      <c r="N740" s="1718"/>
      <c r="O740" s="1718"/>
      <c r="P740" s="1719"/>
      <c r="Q740" s="1718"/>
      <c r="R740" s="1720"/>
      <c r="S740" s="1718"/>
      <c r="T740" s="1721"/>
      <c r="U740" s="1400"/>
      <c r="V740" s="1387"/>
    </row>
    <row r="741" spans="1:27" s="40" customFormat="1" hidden="1">
      <c r="A741" s="1106"/>
      <c r="B741" s="239"/>
      <c r="C741" s="1603"/>
      <c r="D741" s="2527" t="s">
        <v>257</v>
      </c>
      <c r="E741" s="2528"/>
      <c r="F741" s="2528"/>
      <c r="G741" s="2528"/>
      <c r="H741" s="2528"/>
      <c r="I741" s="2529"/>
      <c r="J741" s="2490">
        <f>VLOOKUP(A743,'11 - FINANCEIRA'!_xlnm.Print_Area,30,FALSE)</f>
        <v>1003.2</v>
      </c>
      <c r="K741" s="2491"/>
      <c r="L741" s="309" t="str">
        <f>VLOOKUP(A743,'11 - FINANCEIRA'!_xlnm.Print_Area,4,FALSE)</f>
        <v>m³</v>
      </c>
      <c r="M741" s="2556" t="s">
        <v>258</v>
      </c>
      <c r="N741" s="2557"/>
      <c r="O741" s="2557"/>
      <c r="P741" s="2557"/>
      <c r="Q741" s="2558"/>
      <c r="R741" s="248">
        <f>SUM(R723:R739)</f>
        <v>1002.6080000000001</v>
      </c>
      <c r="S741" s="310" t="str">
        <f>L741</f>
        <v>m³</v>
      </c>
      <c r="T741" s="321"/>
      <c r="U741" s="322"/>
      <c r="V741" s="418">
        <f>V742</f>
        <v>0</v>
      </c>
    </row>
    <row r="742" spans="1:27" s="40" customFormat="1" hidden="1">
      <c r="A742" s="1106"/>
      <c r="B742" s="246"/>
      <c r="C742" s="247"/>
      <c r="D742" s="2521" t="s">
        <v>259</v>
      </c>
      <c r="E742" s="2522"/>
      <c r="F742" s="2522"/>
      <c r="G742" s="2522"/>
      <c r="H742" s="2522"/>
      <c r="I742" s="2523"/>
      <c r="J742" s="2515">
        <f>R741/J741</f>
        <v>0.99940988835725675</v>
      </c>
      <c r="K742" s="2516"/>
      <c r="L742" s="2554"/>
      <c r="M742" s="2556" t="s">
        <v>260</v>
      </c>
      <c r="N742" s="2557"/>
      <c r="O742" s="2557"/>
      <c r="P742" s="2557"/>
      <c r="Q742" s="2558"/>
      <c r="R742" s="248">
        <f>VLOOKUP(A743,'11 - FINANCEIRA'!_xlnm.Print_Area,8,FALSE)</f>
        <v>1002.6080000000001</v>
      </c>
      <c r="S742" s="249" t="str">
        <f>L741</f>
        <v>m³</v>
      </c>
      <c r="T742" s="244"/>
      <c r="U742" s="245"/>
      <c r="V742" s="418">
        <f>V743</f>
        <v>0</v>
      </c>
    </row>
    <row r="743" spans="1:27" s="40" customFormat="1" hidden="1">
      <c r="A743" s="1106" t="s">
        <v>61</v>
      </c>
      <c r="B743" s="246"/>
      <c r="C743" s="240"/>
      <c r="D743" s="2524"/>
      <c r="E743" s="2525"/>
      <c r="F743" s="2525"/>
      <c r="G743" s="2525"/>
      <c r="H743" s="2525"/>
      <c r="I743" s="2526"/>
      <c r="J743" s="2519"/>
      <c r="K743" s="2520"/>
      <c r="L743" s="2570"/>
      <c r="M743" s="2574" t="s">
        <v>261</v>
      </c>
      <c r="N743" s="2575"/>
      <c r="O743" s="2575"/>
      <c r="P743" s="2575"/>
      <c r="Q743" s="2576"/>
      <c r="R743" s="251">
        <f>R741-R742</f>
        <v>0</v>
      </c>
      <c r="S743" s="252" t="str">
        <f>L741</f>
        <v>m³</v>
      </c>
      <c r="T743" s="244"/>
      <c r="U743" s="245"/>
      <c r="V743" s="418">
        <f>R743</f>
        <v>0</v>
      </c>
    </row>
    <row r="744" spans="1:27" s="40" customFormat="1" hidden="1">
      <c r="A744" s="1106"/>
      <c r="B744" s="295"/>
      <c r="C744" s="254"/>
      <c r="D744" s="255"/>
      <c r="E744" s="256"/>
      <c r="F744" s="255"/>
      <c r="G744" s="255"/>
      <c r="H744" s="255"/>
      <c r="I744" s="255"/>
      <c r="J744" s="257"/>
      <c r="K744" s="258"/>
      <c r="L744" s="259"/>
      <c r="M744" s="260"/>
      <c r="N744" s="260"/>
      <c r="O744" s="260"/>
      <c r="P744" s="260"/>
      <c r="Q744" s="260"/>
      <c r="R744" s="261"/>
      <c r="S744" s="262"/>
      <c r="T744" s="263"/>
      <c r="U744" s="264"/>
      <c r="V744" s="418">
        <f>SUM(V721:V743)</f>
        <v>0</v>
      </c>
    </row>
    <row r="745" spans="1:27" s="176" customFormat="1" hidden="1">
      <c r="A745" s="1106"/>
      <c r="B745" s="2463">
        <f>VLOOKUP(A766,'11 - FINANCEIRA'!_xlnm.Print_Area,2,FALSE)</f>
        <v>2003864</v>
      </c>
      <c r="C745" s="2465" t="str">
        <f>VLOOKUP(A766,'11 - FINANCEIRA'!_xlnm.Print_Area,3,FALSE)</f>
        <v>Esgotamento de água com bomba submersa</v>
      </c>
      <c r="D745" s="2472" t="s">
        <v>263</v>
      </c>
      <c r="E745" s="2473"/>
      <c r="F745" s="2473"/>
      <c r="G745" s="2473"/>
      <c r="H745" s="2473"/>
      <c r="I745" s="2474"/>
      <c r="J745" s="2467" t="s">
        <v>358</v>
      </c>
      <c r="K745" s="2496" t="s">
        <v>359</v>
      </c>
      <c r="L745" s="2467" t="s">
        <v>245</v>
      </c>
      <c r="M745" s="2467" t="s">
        <v>246</v>
      </c>
      <c r="N745" s="2467" t="s">
        <v>247</v>
      </c>
      <c r="O745" s="2467" t="s">
        <v>248</v>
      </c>
      <c r="P745" s="409" t="s">
        <v>249</v>
      </c>
      <c r="Q745" s="2577" t="s">
        <v>139</v>
      </c>
      <c r="R745" s="2577" t="s">
        <v>139</v>
      </c>
      <c r="S745" s="2496" t="s">
        <v>251</v>
      </c>
      <c r="T745" s="2496" t="s">
        <v>252</v>
      </c>
      <c r="U745" s="2584" t="s">
        <v>253</v>
      </c>
      <c r="V745" s="418">
        <f>V746</f>
        <v>0</v>
      </c>
      <c r="W745" s="175"/>
      <c r="X745" s="175"/>
      <c r="Y745" s="175"/>
      <c r="Z745" s="175"/>
      <c r="AA745" s="175"/>
    </row>
    <row r="746" spans="1:27" s="176" customFormat="1" hidden="1">
      <c r="A746" s="1106"/>
      <c r="B746" s="2464"/>
      <c r="C746" s="2466"/>
      <c r="D746" s="2475" t="s">
        <v>254</v>
      </c>
      <c r="E746" s="2476"/>
      <c r="F746" s="2477"/>
      <c r="G746" s="2469" t="s">
        <v>255</v>
      </c>
      <c r="H746" s="2470"/>
      <c r="I746" s="2471"/>
      <c r="J746" s="2468"/>
      <c r="K746" s="2497"/>
      <c r="L746" s="2468"/>
      <c r="M746" s="2468"/>
      <c r="N746" s="2468"/>
      <c r="O746" s="2468"/>
      <c r="P746" s="410" t="s">
        <v>256</v>
      </c>
      <c r="Q746" s="2578"/>
      <c r="R746" s="2578"/>
      <c r="S746" s="2497"/>
      <c r="T746" s="2497"/>
      <c r="U746" s="2585"/>
      <c r="V746" s="418">
        <f>V747</f>
        <v>0</v>
      </c>
      <c r="W746" s="175"/>
      <c r="X746" s="175"/>
      <c r="Y746" s="175"/>
      <c r="Z746" s="175"/>
      <c r="AA746" s="175"/>
    </row>
    <row r="747" spans="1:27" s="176" customFormat="1" ht="30" hidden="1">
      <c r="A747" s="1110"/>
      <c r="B747" s="336"/>
      <c r="C747" s="337" t="s">
        <v>360</v>
      </c>
      <c r="D747" s="2571">
        <v>44986</v>
      </c>
      <c r="E747" s="2572"/>
      <c r="F747" s="2573"/>
      <c r="G747" s="2571">
        <v>45016</v>
      </c>
      <c r="H747" s="2572"/>
      <c r="I747" s="2573"/>
      <c r="J747" s="554">
        <v>23</v>
      </c>
      <c r="K747" s="555">
        <v>10</v>
      </c>
      <c r="L747" s="555"/>
      <c r="M747" s="556"/>
      <c r="N747" s="411"/>
      <c r="O747" s="411"/>
      <c r="P747" s="449"/>
      <c r="Q747" s="411">
        <v>1</v>
      </c>
      <c r="R747" s="531">
        <f>TRUNC(J747*K747*Q747,3)</f>
        <v>230</v>
      </c>
      <c r="S747" s="411" t="s">
        <v>199</v>
      </c>
      <c r="T747" s="451">
        <v>7</v>
      </c>
      <c r="U747" s="428"/>
      <c r="V747" s="429">
        <f>V748</f>
        <v>0</v>
      </c>
      <c r="W747" s="175"/>
      <c r="X747" s="175"/>
      <c r="Y747" s="175"/>
      <c r="Z747" s="175"/>
      <c r="AA747" s="175"/>
    </row>
    <row r="748" spans="1:27" s="176" customFormat="1" ht="30" hidden="1">
      <c r="A748" s="1110"/>
      <c r="B748" s="296"/>
      <c r="C748" s="339" t="s">
        <v>360</v>
      </c>
      <c r="D748" s="2533">
        <v>44986</v>
      </c>
      <c r="E748" s="2534"/>
      <c r="F748" s="2535"/>
      <c r="G748" s="2533">
        <v>45016</v>
      </c>
      <c r="H748" s="2534"/>
      <c r="I748" s="2535"/>
      <c r="J748" s="557">
        <v>23</v>
      </c>
      <c r="K748" s="434">
        <v>10</v>
      </c>
      <c r="L748" s="434"/>
      <c r="M748" s="558"/>
      <c r="N748" s="340"/>
      <c r="O748" s="340"/>
      <c r="P748" s="461"/>
      <c r="Q748" s="340">
        <v>1</v>
      </c>
      <c r="R748" s="537">
        <f>TRUNC(J748*K748*Q748,3)</f>
        <v>230</v>
      </c>
      <c r="S748" s="340" t="s">
        <v>199</v>
      </c>
      <c r="T748" s="347">
        <v>8</v>
      </c>
      <c r="U748" s="435"/>
      <c r="V748" s="429">
        <f>V749</f>
        <v>0</v>
      </c>
      <c r="W748" s="175"/>
      <c r="X748" s="175"/>
      <c r="Y748" s="175"/>
      <c r="Z748" s="175"/>
      <c r="AA748" s="175"/>
    </row>
    <row r="749" spans="1:27" s="175" customFormat="1" ht="30" hidden="1">
      <c r="A749" s="1110"/>
      <c r="B749" s="342"/>
      <c r="C749" s="179" t="s">
        <v>360</v>
      </c>
      <c r="D749" s="2672">
        <v>45017</v>
      </c>
      <c r="E749" s="2673"/>
      <c r="F749" s="2674"/>
      <c r="G749" s="2675">
        <v>45046</v>
      </c>
      <c r="H749" s="2676"/>
      <c r="I749" s="2677"/>
      <c r="J749" s="192">
        <v>17</v>
      </c>
      <c r="K749" s="430">
        <v>10</v>
      </c>
      <c r="L749" s="192"/>
      <c r="M749" s="299"/>
      <c r="N749" s="298"/>
      <c r="O749" s="297"/>
      <c r="P749" s="303"/>
      <c r="Q749" s="299">
        <v>2</v>
      </c>
      <c r="R749" s="304">
        <f>TRUNC(J749*K749*Q749,3)</f>
        <v>340</v>
      </c>
      <c r="S749" s="192" t="s">
        <v>199</v>
      </c>
      <c r="T749" s="193">
        <v>8</v>
      </c>
      <c r="U749" s="559"/>
      <c r="V749" s="429">
        <f>V754</f>
        <v>0</v>
      </c>
    </row>
    <row r="750" spans="1:27" s="175" customFormat="1" ht="30" hidden="1">
      <c r="A750" s="1110"/>
      <c r="B750" s="348"/>
      <c r="C750" s="339" t="s">
        <v>360</v>
      </c>
      <c r="D750" s="2672">
        <v>45047</v>
      </c>
      <c r="E750" s="2673"/>
      <c r="F750" s="2674"/>
      <c r="G750" s="2675">
        <v>45077</v>
      </c>
      <c r="H750" s="2676"/>
      <c r="I750" s="2677"/>
      <c r="J750" s="340">
        <v>24</v>
      </c>
      <c r="K750" s="496">
        <v>11</v>
      </c>
      <c r="L750" s="340"/>
      <c r="M750" s="463"/>
      <c r="N750" s="464"/>
      <c r="O750" s="560"/>
      <c r="P750" s="461"/>
      <c r="Q750" s="463">
        <v>2</v>
      </c>
      <c r="R750" s="462">
        <f>TRUNC(J750*K750*Q750,3)</f>
        <v>528</v>
      </c>
      <c r="S750" s="340" t="s">
        <v>199</v>
      </c>
      <c r="T750" s="347">
        <v>9</v>
      </c>
      <c r="U750" s="559"/>
      <c r="V750" s="418">
        <f>V751</f>
        <v>0</v>
      </c>
    </row>
    <row r="751" spans="1:27" s="175" customFormat="1" ht="30" hidden="1">
      <c r="A751" s="1110"/>
      <c r="B751" s="348"/>
      <c r="C751" s="179" t="s">
        <v>360</v>
      </c>
      <c r="D751" s="2672">
        <v>45047</v>
      </c>
      <c r="E751" s="2673"/>
      <c r="F751" s="2674"/>
      <c r="G751" s="2675">
        <v>45077</v>
      </c>
      <c r="H751" s="2676"/>
      <c r="I751" s="2677"/>
      <c r="J751" s="192">
        <v>4</v>
      </c>
      <c r="K751" s="430">
        <v>11</v>
      </c>
      <c r="L751" s="192"/>
      <c r="M751" s="299"/>
      <c r="N751" s="298"/>
      <c r="O751" s="297"/>
      <c r="P751" s="303"/>
      <c r="Q751" s="299">
        <v>1</v>
      </c>
      <c r="R751" s="304">
        <f>TRUNC(J751*K751*Q751,3)</f>
        <v>44</v>
      </c>
      <c r="S751" s="192" t="s">
        <v>199</v>
      </c>
      <c r="T751" s="193">
        <v>9</v>
      </c>
      <c r="U751" s="559"/>
      <c r="V751" s="418">
        <f>V754</f>
        <v>0</v>
      </c>
    </row>
    <row r="752" spans="1:27" s="222" customFormat="1" ht="30" hidden="1">
      <c r="A752" s="1106"/>
      <c r="B752" s="442"/>
      <c r="C752" s="196" t="s">
        <v>360</v>
      </c>
      <c r="D752" s="2678">
        <v>45078</v>
      </c>
      <c r="E752" s="2679"/>
      <c r="F752" s="2680"/>
      <c r="G752" s="2681">
        <v>45107</v>
      </c>
      <c r="H752" s="2682"/>
      <c r="I752" s="2683"/>
      <c r="J752" s="201">
        <v>22</v>
      </c>
      <c r="K752" s="676">
        <v>11</v>
      </c>
      <c r="L752" s="201"/>
      <c r="M752" s="199"/>
      <c r="N752" s="198"/>
      <c r="O752" s="197"/>
      <c r="P752" s="202"/>
      <c r="Q752" s="199">
        <v>1</v>
      </c>
      <c r="R752" s="685">
        <v>68</v>
      </c>
      <c r="S752" s="201" t="s">
        <v>199</v>
      </c>
      <c r="T752" s="204">
        <v>10</v>
      </c>
      <c r="U752" s="681"/>
      <c r="V752" s="418"/>
    </row>
    <row r="753" spans="1:27" s="175" customFormat="1" ht="45" hidden="1">
      <c r="A753" s="1110"/>
      <c r="B753" s="348"/>
      <c r="C753" s="339" t="s">
        <v>360</v>
      </c>
      <c r="D753" s="2672">
        <v>45078</v>
      </c>
      <c r="E753" s="2673"/>
      <c r="F753" s="2674"/>
      <c r="G753" s="2675">
        <v>45107</v>
      </c>
      <c r="H753" s="2676"/>
      <c r="I753" s="2677"/>
      <c r="J753" s="340">
        <v>24</v>
      </c>
      <c r="K753" s="496">
        <v>11</v>
      </c>
      <c r="L753" s="340"/>
      <c r="M753" s="463"/>
      <c r="N753" s="464"/>
      <c r="O753" s="560"/>
      <c r="P753" s="461"/>
      <c r="Q753" s="463">
        <v>1</v>
      </c>
      <c r="R753" s="462">
        <f>TRUNC(J753*K753*Q753,3)</f>
        <v>264</v>
      </c>
      <c r="S753" s="340" t="s">
        <v>199</v>
      </c>
      <c r="T753" s="347">
        <v>12</v>
      </c>
      <c r="U753" s="559" t="s">
        <v>500</v>
      </c>
      <c r="V753" s="429">
        <f>V754</f>
        <v>0</v>
      </c>
    </row>
    <row r="754" spans="1:27" s="175" customFormat="1" ht="45" hidden="1">
      <c r="A754" s="1110"/>
      <c r="B754" s="342"/>
      <c r="C754" s="339" t="s">
        <v>360</v>
      </c>
      <c r="D754" s="2533">
        <v>45078</v>
      </c>
      <c r="E754" s="2534"/>
      <c r="F754" s="2535"/>
      <c r="G754" s="2536">
        <v>45107</v>
      </c>
      <c r="H754" s="2537"/>
      <c r="I754" s="2538"/>
      <c r="J754" s="340">
        <v>24</v>
      </c>
      <c r="K754" s="496">
        <v>11</v>
      </c>
      <c r="L754" s="340"/>
      <c r="M754" s="463"/>
      <c r="N754" s="464"/>
      <c r="O754" s="560"/>
      <c r="P754" s="461"/>
      <c r="Q754" s="463">
        <v>1</v>
      </c>
      <c r="R754" s="462">
        <v>264</v>
      </c>
      <c r="S754" s="340" t="s">
        <v>199</v>
      </c>
      <c r="T754" s="347">
        <v>12</v>
      </c>
      <c r="U754" s="435" t="s">
        <v>500</v>
      </c>
      <c r="V754" s="429">
        <f t="shared" ref="V754:V761" si="85">V764</f>
        <v>0</v>
      </c>
    </row>
    <row r="755" spans="1:27" s="688" customFormat="1" ht="30" hidden="1">
      <c r="A755" s="1771"/>
      <c r="B755" s="342"/>
      <c r="C755" s="339" t="s">
        <v>360</v>
      </c>
      <c r="D755" s="2533">
        <v>44927</v>
      </c>
      <c r="E755" s="2534"/>
      <c r="F755" s="2535"/>
      <c r="G755" s="2536">
        <v>44957</v>
      </c>
      <c r="H755" s="2537"/>
      <c r="I755" s="2538"/>
      <c r="J755" s="340">
        <v>24</v>
      </c>
      <c r="K755" s="496">
        <v>11</v>
      </c>
      <c r="L755" s="340"/>
      <c r="M755" s="463"/>
      <c r="N755" s="464"/>
      <c r="O755" s="560"/>
      <c r="P755" s="461"/>
      <c r="Q755" s="463">
        <v>1</v>
      </c>
      <c r="R755" s="462">
        <v>264</v>
      </c>
      <c r="S755" s="340" t="s">
        <v>199</v>
      </c>
      <c r="T755" s="347">
        <v>18</v>
      </c>
      <c r="U755" s="435"/>
      <c r="V755" s="764">
        <f t="shared" si="85"/>
        <v>0</v>
      </c>
    </row>
    <row r="756" spans="1:27" s="688" customFormat="1" ht="30" hidden="1">
      <c r="A756" s="1771"/>
      <c r="B756" s="342"/>
      <c r="C756" s="339" t="s">
        <v>360</v>
      </c>
      <c r="D756" s="2533">
        <v>44958</v>
      </c>
      <c r="E756" s="2534"/>
      <c r="F756" s="2535"/>
      <c r="G756" s="2536" t="s">
        <v>712</v>
      </c>
      <c r="H756" s="2537"/>
      <c r="I756" s="2538"/>
      <c r="J756" s="340">
        <v>24</v>
      </c>
      <c r="K756" s="496">
        <v>11</v>
      </c>
      <c r="L756" s="340"/>
      <c r="M756" s="463"/>
      <c r="N756" s="464"/>
      <c r="O756" s="560"/>
      <c r="P756" s="461"/>
      <c r="Q756" s="463">
        <v>1</v>
      </c>
      <c r="R756" s="462">
        <v>264</v>
      </c>
      <c r="S756" s="340" t="s">
        <v>199</v>
      </c>
      <c r="T756" s="347">
        <v>18</v>
      </c>
      <c r="U756" s="435"/>
      <c r="V756" s="764">
        <f t="shared" si="85"/>
        <v>0</v>
      </c>
    </row>
    <row r="757" spans="1:27" s="175" customFormat="1" ht="30" hidden="1">
      <c r="A757" s="1110"/>
      <c r="B757" s="342"/>
      <c r="C757" s="339" t="s">
        <v>360</v>
      </c>
      <c r="D757" s="2684">
        <v>44986</v>
      </c>
      <c r="E757" s="2685"/>
      <c r="F757" s="2686"/>
      <c r="G757" s="2687">
        <v>45016</v>
      </c>
      <c r="H757" s="2688"/>
      <c r="I757" s="2689"/>
      <c r="J757" s="509">
        <v>24</v>
      </c>
      <c r="K757" s="623">
        <v>11</v>
      </c>
      <c r="L757" s="509"/>
      <c r="M757" s="534"/>
      <c r="N757" s="535"/>
      <c r="O757" s="538"/>
      <c r="P757" s="536"/>
      <c r="Q757" s="534">
        <v>1</v>
      </c>
      <c r="R757" s="537">
        <v>264</v>
      </c>
      <c r="S757" s="509" t="s">
        <v>199</v>
      </c>
      <c r="T757" s="539">
        <v>19</v>
      </c>
      <c r="U757" s="492"/>
      <c r="V757" s="429" t="e">
        <f t="shared" ca="1" si="85"/>
        <v>#REF!</v>
      </c>
    </row>
    <row r="758" spans="1:27" s="688" customFormat="1" ht="30" hidden="1">
      <c r="A758" s="1771" t="s">
        <v>718</v>
      </c>
      <c r="B758" s="342"/>
      <c r="C758" s="339" t="s">
        <v>360</v>
      </c>
      <c r="D758" s="2684">
        <v>45017</v>
      </c>
      <c r="E758" s="2685"/>
      <c r="F758" s="2686"/>
      <c r="G758" s="2687" t="s">
        <v>749</v>
      </c>
      <c r="H758" s="2688"/>
      <c r="I758" s="2689"/>
      <c r="J758" s="509">
        <v>24</v>
      </c>
      <c r="K758" s="623">
        <v>11</v>
      </c>
      <c r="L758" s="509"/>
      <c r="M758" s="534"/>
      <c r="N758" s="535"/>
      <c r="O758" s="538"/>
      <c r="P758" s="536"/>
      <c r="Q758" s="534">
        <v>1</v>
      </c>
      <c r="R758" s="537">
        <v>264</v>
      </c>
      <c r="S758" s="509" t="s">
        <v>199</v>
      </c>
      <c r="T758" s="539">
        <v>20</v>
      </c>
      <c r="U758" s="492"/>
      <c r="V758" s="764">
        <f t="shared" si="85"/>
        <v>0</v>
      </c>
    </row>
    <row r="759" spans="1:27" s="175" customFormat="1" ht="30" hidden="1">
      <c r="A759" s="1110" t="s">
        <v>718</v>
      </c>
      <c r="B759" s="342"/>
      <c r="C759" s="339" t="s">
        <v>360</v>
      </c>
      <c r="D759" s="2684">
        <v>45047</v>
      </c>
      <c r="E759" s="2685"/>
      <c r="F759" s="2686"/>
      <c r="G759" s="2687">
        <v>45077</v>
      </c>
      <c r="H759" s="2688"/>
      <c r="I759" s="2689"/>
      <c r="J759" s="509">
        <v>24</v>
      </c>
      <c r="K759" s="623">
        <v>11</v>
      </c>
      <c r="L759" s="509"/>
      <c r="M759" s="534"/>
      <c r="N759" s="535"/>
      <c r="O759" s="538"/>
      <c r="P759" s="536"/>
      <c r="Q759" s="534">
        <v>1</v>
      </c>
      <c r="R759" s="537">
        <v>264</v>
      </c>
      <c r="S759" s="509" t="s">
        <v>199</v>
      </c>
      <c r="T759" s="539">
        <v>21</v>
      </c>
      <c r="U759" s="492"/>
      <c r="V759" s="429">
        <f t="shared" si="85"/>
        <v>0</v>
      </c>
    </row>
    <row r="760" spans="1:27" s="175" customFormat="1" ht="30" hidden="1">
      <c r="A760" s="1110" t="s">
        <v>718</v>
      </c>
      <c r="B760" s="342"/>
      <c r="C760" s="339" t="s">
        <v>360</v>
      </c>
      <c r="D760" s="2684">
        <v>45078</v>
      </c>
      <c r="E760" s="2685"/>
      <c r="F760" s="2686"/>
      <c r="G760" s="2687" t="s">
        <v>866</v>
      </c>
      <c r="H760" s="2688"/>
      <c r="I760" s="2689"/>
      <c r="J760" s="509">
        <v>24</v>
      </c>
      <c r="K760" s="623">
        <v>11</v>
      </c>
      <c r="L760" s="509"/>
      <c r="M760" s="534"/>
      <c r="N760" s="535"/>
      <c r="O760" s="538"/>
      <c r="P760" s="536"/>
      <c r="Q760" s="534">
        <v>2</v>
      </c>
      <c r="R760" s="537">
        <f>J760*K760*Q760</f>
        <v>528</v>
      </c>
      <c r="S760" s="509" t="s">
        <v>199</v>
      </c>
      <c r="T760" s="539">
        <v>22</v>
      </c>
      <c r="U760" s="492" t="s">
        <v>867</v>
      </c>
      <c r="V760" s="429">
        <f t="shared" si="85"/>
        <v>0</v>
      </c>
    </row>
    <row r="761" spans="1:27" s="175" customFormat="1" ht="30" hidden="1">
      <c r="A761" s="1110" t="s">
        <v>718</v>
      </c>
      <c r="B761" s="342"/>
      <c r="C761" s="339" t="s">
        <v>360</v>
      </c>
      <c r="D761" s="2684">
        <v>45078</v>
      </c>
      <c r="E761" s="2685"/>
      <c r="F761" s="2686"/>
      <c r="G761" s="2687" t="s">
        <v>866</v>
      </c>
      <c r="H761" s="2688"/>
      <c r="I761" s="2689"/>
      <c r="J761" s="509">
        <v>24</v>
      </c>
      <c r="K761" s="623">
        <v>11</v>
      </c>
      <c r="L761" s="509"/>
      <c r="M761" s="534"/>
      <c r="N761" s="535"/>
      <c r="O761" s="538"/>
      <c r="P761" s="536"/>
      <c r="Q761" s="534">
        <v>1</v>
      </c>
      <c r="R761" s="537">
        <v>396</v>
      </c>
      <c r="S761" s="509" t="s">
        <v>199</v>
      </c>
      <c r="T761" s="539">
        <v>22</v>
      </c>
      <c r="U761" s="492" t="s">
        <v>868</v>
      </c>
      <c r="V761" s="429">
        <f t="shared" si="85"/>
        <v>0</v>
      </c>
    </row>
    <row r="762" spans="1:27" s="688" customFormat="1" hidden="1">
      <c r="A762" s="1108"/>
      <c r="B762" s="756"/>
      <c r="C762" s="893"/>
      <c r="D762" s="1002"/>
      <c r="E762" s="1003"/>
      <c r="F762" s="1004"/>
      <c r="G762" s="1005"/>
      <c r="H762" s="1006"/>
      <c r="I762" s="1007"/>
      <c r="J762" s="868"/>
      <c r="K762" s="770"/>
      <c r="L762" s="868"/>
      <c r="M762" s="896"/>
      <c r="N762" s="897"/>
      <c r="O762" s="895"/>
      <c r="P762" s="890"/>
      <c r="Q762" s="896"/>
      <c r="R762" s="891"/>
      <c r="S762" s="868"/>
      <c r="T762" s="892"/>
      <c r="U762" s="1010"/>
      <c r="V762" s="764"/>
    </row>
    <row r="763" spans="1:27" s="175" customFormat="1" hidden="1">
      <c r="A763" s="1110"/>
      <c r="B763" s="348"/>
      <c r="C763" s="1653"/>
      <c r="D763" s="2672"/>
      <c r="E763" s="2673"/>
      <c r="F763" s="2674"/>
      <c r="G763" s="2675"/>
      <c r="H763" s="2676"/>
      <c r="I763" s="2677"/>
      <c r="J763" s="357"/>
      <c r="K763" s="611"/>
      <c r="L763" s="357"/>
      <c r="M763" s="566"/>
      <c r="N763" s="714"/>
      <c r="O763" s="618"/>
      <c r="P763" s="619"/>
      <c r="Q763" s="566"/>
      <c r="R763" s="616"/>
      <c r="S763" s="357"/>
      <c r="T763" s="355"/>
      <c r="U763" s="1654"/>
      <c r="V763" s="429"/>
    </row>
    <row r="764" spans="1:27" s="40" customFormat="1" hidden="1">
      <c r="A764" s="1106"/>
      <c r="B764" s="239"/>
      <c r="C764" s="1624"/>
      <c r="D764" s="2527" t="s">
        <v>257</v>
      </c>
      <c r="E764" s="2528"/>
      <c r="F764" s="2528"/>
      <c r="G764" s="2528"/>
      <c r="H764" s="2528"/>
      <c r="I764" s="2529"/>
      <c r="J764" s="2668">
        <f>VLOOKUP(A766,'11 - FINANCEIRA'!_xlnm.Print_Area,30,FALSE)</f>
        <v>4212</v>
      </c>
      <c r="K764" s="2669"/>
      <c r="L764" s="309" t="str">
        <f>VLOOKUP(A766,'11 - FINANCEIRA'!_xlnm.Print_Area,4,FALSE)</f>
        <v>h</v>
      </c>
      <c r="M764" s="2556" t="s">
        <v>258</v>
      </c>
      <c r="N764" s="2557"/>
      <c r="O764" s="2557"/>
      <c r="P764" s="2557"/>
      <c r="Q764" s="2558"/>
      <c r="R764" s="248">
        <f>SUM(R747:R762)</f>
        <v>4212</v>
      </c>
      <c r="S764" s="310" t="str">
        <f>L764</f>
        <v>h</v>
      </c>
      <c r="T764" s="321"/>
      <c r="U764" s="322"/>
      <c r="V764" s="418">
        <f>V765</f>
        <v>0</v>
      </c>
    </row>
    <row r="765" spans="1:27" s="40" customFormat="1" hidden="1">
      <c r="A765" s="1106"/>
      <c r="B765" s="246"/>
      <c r="C765" s="1625"/>
      <c r="D765" s="2521" t="s">
        <v>259</v>
      </c>
      <c r="E765" s="2522"/>
      <c r="F765" s="2522"/>
      <c r="G765" s="2522"/>
      <c r="H765" s="2522"/>
      <c r="I765" s="2523"/>
      <c r="J765" s="2515">
        <f>R764/J764</f>
        <v>1</v>
      </c>
      <c r="K765" s="2516"/>
      <c r="L765" s="2554"/>
      <c r="M765" s="2556" t="s">
        <v>260</v>
      </c>
      <c r="N765" s="2557"/>
      <c r="O765" s="2557"/>
      <c r="P765" s="2557"/>
      <c r="Q765" s="2558"/>
      <c r="R765" s="248">
        <f>VLOOKUP(A766,'11 - FINANCEIRA'!_xlnm.Print_Area,8,FALSE)</f>
        <v>4212</v>
      </c>
      <c r="S765" s="249" t="str">
        <f>L764</f>
        <v>h</v>
      </c>
      <c r="T765" s="244"/>
      <c r="U765" s="245"/>
      <c r="V765" s="418">
        <f>V766</f>
        <v>0</v>
      </c>
    </row>
    <row r="766" spans="1:27" s="40" customFormat="1" hidden="1">
      <c r="A766" s="1106" t="s">
        <v>62</v>
      </c>
      <c r="B766" s="246"/>
      <c r="C766" s="1626"/>
      <c r="D766" s="2524"/>
      <c r="E766" s="2525"/>
      <c r="F766" s="2525"/>
      <c r="G766" s="2525"/>
      <c r="H766" s="2525"/>
      <c r="I766" s="2526"/>
      <c r="J766" s="2519"/>
      <c r="K766" s="2520"/>
      <c r="L766" s="2570"/>
      <c r="M766" s="2574" t="s">
        <v>261</v>
      </c>
      <c r="N766" s="2575"/>
      <c r="O766" s="2575"/>
      <c r="P766" s="2575"/>
      <c r="Q766" s="2576"/>
      <c r="R766" s="251">
        <f>R764-R765</f>
        <v>0</v>
      </c>
      <c r="S766" s="252" t="str">
        <f>L764</f>
        <v>h</v>
      </c>
      <c r="T766" s="244"/>
      <c r="U766" s="245"/>
      <c r="V766" s="418">
        <f>R766</f>
        <v>0</v>
      </c>
    </row>
    <row r="767" spans="1:27" s="40" customFormat="1" hidden="1">
      <c r="A767" s="1106"/>
      <c r="B767" s="295"/>
      <c r="C767" s="254"/>
      <c r="D767" s="255"/>
      <c r="E767" s="256"/>
      <c r="F767" s="255"/>
      <c r="G767" s="255"/>
      <c r="H767" s="255"/>
      <c r="I767" s="255"/>
      <c r="J767" s="257"/>
      <c r="K767" s="258"/>
      <c r="L767" s="259"/>
      <c r="M767" s="260"/>
      <c r="N767" s="260"/>
      <c r="O767" s="260"/>
      <c r="P767" s="260"/>
      <c r="Q767" s="260"/>
      <c r="R767" s="261"/>
      <c r="S767" s="262"/>
      <c r="T767" s="263"/>
      <c r="U767" s="264"/>
      <c r="V767" s="418" t="e">
        <f ca="1">SUM(V745:V766)</f>
        <v>#REF!</v>
      </c>
    </row>
    <row r="768" spans="1:27" s="176" customFormat="1" hidden="1">
      <c r="A768" s="1104"/>
      <c r="B768" s="2463">
        <f>VLOOKUP(A776,'11 - FINANCEIRA'!_xlnm.Print_Area,2,FALSE)</f>
        <v>7060100030</v>
      </c>
      <c r="C768" s="2503" t="str">
        <f>VLOOKUP(A776,'11 - FINANCEIRA'!_xlnm.Print_Area,3,FALSE)</f>
        <v>Rebaixamento de lençol freatico c/ pomt filtrantes</v>
      </c>
      <c r="D768" s="2472" t="s">
        <v>242</v>
      </c>
      <c r="E768" s="2473"/>
      <c r="F768" s="2473"/>
      <c r="G768" s="2473"/>
      <c r="H768" s="2473"/>
      <c r="I768" s="2474"/>
      <c r="J768" s="2467" t="s">
        <v>243</v>
      </c>
      <c r="K768" s="2467" t="s">
        <v>244</v>
      </c>
      <c r="L768" s="2467" t="s">
        <v>245</v>
      </c>
      <c r="M768" s="2467" t="s">
        <v>246</v>
      </c>
      <c r="N768" s="2467" t="s">
        <v>247</v>
      </c>
      <c r="O768" s="2467" t="s">
        <v>248</v>
      </c>
      <c r="P768" s="173" t="s">
        <v>249</v>
      </c>
      <c r="Q768" s="2467" t="s">
        <v>250</v>
      </c>
      <c r="R768" s="2579" t="s">
        <v>139</v>
      </c>
      <c r="S768" s="2467" t="s">
        <v>251</v>
      </c>
      <c r="T768" s="2467" t="s">
        <v>252</v>
      </c>
      <c r="U768" s="2584" t="s">
        <v>253</v>
      </c>
      <c r="V768" s="174">
        <f t="shared" ref="V768:V775" si="86">V769</f>
        <v>0</v>
      </c>
      <c r="W768" s="175"/>
      <c r="X768" s="175"/>
      <c r="Y768" s="175"/>
      <c r="Z768" s="175"/>
      <c r="AA768" s="175"/>
    </row>
    <row r="769" spans="1:27" s="176" customFormat="1" hidden="1">
      <c r="A769" s="1104"/>
      <c r="B769" s="2464"/>
      <c r="C769" s="2504"/>
      <c r="D769" s="2475" t="s">
        <v>254</v>
      </c>
      <c r="E769" s="2476"/>
      <c r="F769" s="2477"/>
      <c r="G769" s="2469" t="s">
        <v>255</v>
      </c>
      <c r="H769" s="2470"/>
      <c r="I769" s="2471"/>
      <c r="J769" s="2468"/>
      <c r="K769" s="2468"/>
      <c r="L769" s="2468"/>
      <c r="M769" s="2468"/>
      <c r="N769" s="2468"/>
      <c r="O769" s="2468"/>
      <c r="P769" s="177" t="s">
        <v>256</v>
      </c>
      <c r="Q769" s="2468"/>
      <c r="R769" s="2580"/>
      <c r="S769" s="2468"/>
      <c r="T769" s="2468"/>
      <c r="U769" s="2585"/>
      <c r="V769" s="174">
        <f t="shared" si="86"/>
        <v>0</v>
      </c>
      <c r="W769" s="175"/>
      <c r="X769" s="175"/>
      <c r="Y769" s="175"/>
      <c r="Z769" s="175"/>
      <c r="AA769" s="175"/>
    </row>
    <row r="770" spans="1:27" s="176" customFormat="1" hidden="1">
      <c r="A770" s="1104"/>
      <c r="B770" s="178"/>
      <c r="C770" s="307"/>
      <c r="D770" s="267"/>
      <c r="E770" s="268"/>
      <c r="F770" s="269"/>
      <c r="G770" s="270"/>
      <c r="H770" s="271"/>
      <c r="I770" s="272"/>
      <c r="J770" s="273"/>
      <c r="K770" s="273"/>
      <c r="L770" s="273"/>
      <c r="M770" s="273"/>
      <c r="N770" s="273"/>
      <c r="O770" s="273"/>
      <c r="P770" s="274"/>
      <c r="Q770" s="273"/>
      <c r="R770" s="308"/>
      <c r="S770" s="273"/>
      <c r="T770" s="276"/>
      <c r="U770" s="194"/>
      <c r="V770" s="174">
        <f t="shared" si="86"/>
        <v>0</v>
      </c>
      <c r="W770" s="175"/>
      <c r="X770" s="175"/>
      <c r="Y770" s="175"/>
      <c r="Z770" s="175"/>
      <c r="AA770" s="175"/>
    </row>
    <row r="771" spans="1:27" s="176" customFormat="1" hidden="1">
      <c r="A771" s="1104"/>
      <c r="B771" s="195"/>
      <c r="C771" s="277"/>
      <c r="D771" s="278"/>
      <c r="E771" s="279"/>
      <c r="F771" s="280"/>
      <c r="G771" s="281"/>
      <c r="H771" s="282"/>
      <c r="I771" s="283"/>
      <c r="J771" s="284"/>
      <c r="K771" s="278"/>
      <c r="L771" s="284"/>
      <c r="M771" s="280"/>
      <c r="N771" s="279"/>
      <c r="O771" s="278"/>
      <c r="P771" s="285"/>
      <c r="Q771" s="280"/>
      <c r="R771" s="203"/>
      <c r="S771" s="284"/>
      <c r="T771" s="286"/>
      <c r="U771" s="205"/>
      <c r="V771" s="174">
        <f t="shared" si="86"/>
        <v>0</v>
      </c>
      <c r="W771" s="175"/>
      <c r="X771" s="175"/>
      <c r="Y771" s="175"/>
      <c r="Z771" s="175"/>
      <c r="AA771" s="175"/>
    </row>
    <row r="772" spans="1:27" s="222" customFormat="1" hidden="1">
      <c r="A772" s="1105"/>
      <c r="B772" s="206"/>
      <c r="C772" s="287"/>
      <c r="D772" s="288"/>
      <c r="E772" s="289"/>
      <c r="F772" s="290"/>
      <c r="G772" s="288"/>
      <c r="H772" s="289"/>
      <c r="I772" s="290"/>
      <c r="J772" s="201"/>
      <c r="K772" s="291"/>
      <c r="L772" s="291"/>
      <c r="M772" s="291"/>
      <c r="N772" s="291"/>
      <c r="O772" s="292"/>
      <c r="P772" s="291"/>
      <c r="Q772" s="292"/>
      <c r="R772" s="218"/>
      <c r="S772" s="293"/>
      <c r="T772" s="204"/>
      <c r="U772" s="221"/>
      <c r="V772" s="174">
        <f t="shared" si="86"/>
        <v>0</v>
      </c>
    </row>
    <row r="773" spans="1:27" s="222" customFormat="1" hidden="1">
      <c r="A773" s="1105"/>
      <c r="B773" s="223"/>
      <c r="C773" s="224"/>
      <c r="D773" s="225"/>
      <c r="E773" s="226"/>
      <c r="F773" s="227"/>
      <c r="G773" s="225"/>
      <c r="H773" s="226"/>
      <c r="I773" s="227"/>
      <c r="J773" s="228"/>
      <c r="K773" s="229"/>
      <c r="L773" s="230"/>
      <c r="M773" s="231"/>
      <c r="N773" s="232"/>
      <c r="O773" s="233"/>
      <c r="P773" s="230"/>
      <c r="Q773" s="234"/>
      <c r="R773" s="235"/>
      <c r="S773" s="236"/>
      <c r="T773" s="294"/>
      <c r="U773" s="238"/>
      <c r="V773" s="174">
        <f t="shared" si="86"/>
        <v>0</v>
      </c>
    </row>
    <row r="774" spans="1:27" s="40" customFormat="1" hidden="1">
      <c r="A774" s="1106"/>
      <c r="B774" s="246"/>
      <c r="C774" s="240"/>
      <c r="D774" s="2527" t="s">
        <v>257</v>
      </c>
      <c r="E774" s="2528"/>
      <c r="F774" s="2528"/>
      <c r="G774" s="2528"/>
      <c r="H774" s="2528"/>
      <c r="I774" s="2529"/>
      <c r="J774" s="2668">
        <f>VLOOKUP(A776,'11 - FINANCEIRA'!_xlnm.Print_Area,30,FALSE)</f>
        <v>6</v>
      </c>
      <c r="K774" s="2669"/>
      <c r="L774" s="309" t="str">
        <f>VLOOKUP(A776,'11 - FINANCEIRA'!_xlnm.Print_Area,4,FALSE)</f>
        <v>mês</v>
      </c>
      <c r="M774" s="2556" t="s">
        <v>258</v>
      </c>
      <c r="N774" s="2557"/>
      <c r="O774" s="2557"/>
      <c r="P774" s="2557"/>
      <c r="Q774" s="2558"/>
      <c r="R774" s="248">
        <f>SUM(R770:R773)</f>
        <v>0</v>
      </c>
      <c r="S774" s="310" t="str">
        <f>L774</f>
        <v>mês</v>
      </c>
      <c r="T774" s="321"/>
      <c r="U774" s="322"/>
      <c r="V774" s="174">
        <f t="shared" si="86"/>
        <v>0</v>
      </c>
    </row>
    <row r="775" spans="1:27" s="40" customFormat="1" hidden="1">
      <c r="A775" s="1106"/>
      <c r="B775" s="246"/>
      <c r="C775" s="247"/>
      <c r="D775" s="2521" t="s">
        <v>259</v>
      </c>
      <c r="E775" s="2522"/>
      <c r="F775" s="2522"/>
      <c r="G775" s="2522"/>
      <c r="H775" s="2522"/>
      <c r="I775" s="2523"/>
      <c r="J775" s="2515">
        <f>R774/J774</f>
        <v>0</v>
      </c>
      <c r="K775" s="2516"/>
      <c r="L775" s="2554"/>
      <c r="M775" s="2556" t="s">
        <v>260</v>
      </c>
      <c r="N775" s="2557"/>
      <c r="O775" s="2557"/>
      <c r="P775" s="2557"/>
      <c r="Q775" s="2558"/>
      <c r="R775" s="248">
        <f>VLOOKUP(A776,'11 - FINANCEIRA'!_xlnm.Print_Area,8,FALSE)</f>
        <v>0</v>
      </c>
      <c r="S775" s="249" t="str">
        <f>L774</f>
        <v>mês</v>
      </c>
      <c r="T775" s="244"/>
      <c r="U775" s="245"/>
      <c r="V775" s="174">
        <f t="shared" si="86"/>
        <v>0</v>
      </c>
    </row>
    <row r="776" spans="1:27" s="40" customFormat="1" hidden="1">
      <c r="A776" s="1106" t="s">
        <v>63</v>
      </c>
      <c r="B776" s="246"/>
      <c r="C776" s="240"/>
      <c r="D776" s="2524"/>
      <c r="E776" s="2525"/>
      <c r="F776" s="2525"/>
      <c r="G776" s="2525"/>
      <c r="H776" s="2525"/>
      <c r="I776" s="2526"/>
      <c r="J776" s="2519"/>
      <c r="K776" s="2520"/>
      <c r="L776" s="2570"/>
      <c r="M776" s="2556" t="s">
        <v>261</v>
      </c>
      <c r="N776" s="2557"/>
      <c r="O776" s="2557"/>
      <c r="P776" s="2557"/>
      <c r="Q776" s="2558"/>
      <c r="R776" s="248">
        <f>R774-R775</f>
        <v>0</v>
      </c>
      <c r="S776" s="249" t="str">
        <f>L774</f>
        <v>mês</v>
      </c>
      <c r="T776" s="562"/>
      <c r="U776" s="563"/>
      <c r="V776" s="174">
        <f>R776</f>
        <v>0</v>
      </c>
    </row>
    <row r="777" spans="1:27" s="40" customFormat="1" hidden="1">
      <c r="A777" s="1106"/>
      <c r="B777" s="311"/>
      <c r="C777" s="312"/>
      <c r="D777" s="313"/>
      <c r="E777" s="314"/>
      <c r="F777" s="313"/>
      <c r="G777" s="313"/>
      <c r="H777" s="313"/>
      <c r="I777" s="313"/>
      <c r="J777" s="315"/>
      <c r="K777" s="316"/>
      <c r="L777" s="317"/>
      <c r="M777" s="318"/>
      <c r="N777" s="318"/>
      <c r="O777" s="318"/>
      <c r="P777" s="318"/>
      <c r="Q777" s="318"/>
      <c r="R777" s="319"/>
      <c r="S777" s="320"/>
      <c r="T777" s="321"/>
      <c r="U777" s="322"/>
      <c r="V777" s="265">
        <f>SUM(V768:V776)</f>
        <v>0</v>
      </c>
    </row>
    <row r="778" spans="1:27" s="176" customFormat="1" ht="15.75" customHeight="1">
      <c r="A778" s="1106"/>
      <c r="B778" s="2463">
        <f>VLOOKUP(A815,'11 - FINANCEIRA'!_xlnm.Print_Area,2,FALSE)</f>
        <v>7050100030</v>
      </c>
      <c r="C778" s="2465" t="str">
        <f>VLOOKUP(A815,'11 - FINANCEIRA'!_xlnm.Print_Area,3,FALSE)</f>
        <v>Escoramento cavas com prancha metalica</v>
      </c>
      <c r="D778" s="2472" t="s">
        <v>242</v>
      </c>
      <c r="E778" s="2473"/>
      <c r="F778" s="2473"/>
      <c r="G778" s="2473"/>
      <c r="H778" s="2473"/>
      <c r="I778" s="2474"/>
      <c r="J778" s="2467" t="s">
        <v>243</v>
      </c>
      <c r="K778" s="2467" t="s">
        <v>244</v>
      </c>
      <c r="L778" s="2467" t="s">
        <v>245</v>
      </c>
      <c r="M778" s="2467" t="s">
        <v>246</v>
      </c>
      <c r="N778" s="2467" t="s">
        <v>247</v>
      </c>
      <c r="O778" s="2467" t="s">
        <v>248</v>
      </c>
      <c r="P778" s="173" t="s">
        <v>249</v>
      </c>
      <c r="Q778" s="2579" t="s">
        <v>361</v>
      </c>
      <c r="R778" s="2579" t="s">
        <v>139</v>
      </c>
      <c r="S778" s="2467" t="s">
        <v>251</v>
      </c>
      <c r="T778" s="2467" t="s">
        <v>252</v>
      </c>
      <c r="U778" s="2584" t="s">
        <v>253</v>
      </c>
      <c r="V778" s="174">
        <f>V779</f>
        <v>285.25</v>
      </c>
      <c r="W778" s="175"/>
      <c r="X778" s="175"/>
      <c r="Y778" s="175"/>
      <c r="Z778" s="175"/>
      <c r="AA778" s="175"/>
    </row>
    <row r="779" spans="1:27" s="176" customFormat="1">
      <c r="A779" s="1106"/>
      <c r="B779" s="2464"/>
      <c r="C779" s="2466"/>
      <c r="D779" s="2475" t="s">
        <v>254</v>
      </c>
      <c r="E779" s="2476"/>
      <c r="F779" s="2477"/>
      <c r="G779" s="2469" t="s">
        <v>255</v>
      </c>
      <c r="H779" s="2470"/>
      <c r="I779" s="2471"/>
      <c r="J779" s="2468"/>
      <c r="K779" s="2468"/>
      <c r="L779" s="2468"/>
      <c r="M779" s="2468"/>
      <c r="N779" s="2468"/>
      <c r="O779" s="2468"/>
      <c r="P779" s="177" t="s">
        <v>256</v>
      </c>
      <c r="Q779" s="2580"/>
      <c r="R779" s="2580"/>
      <c r="S779" s="2468"/>
      <c r="T779" s="2468"/>
      <c r="U779" s="2585"/>
      <c r="V779" s="174">
        <f>V780</f>
        <v>285.25</v>
      </c>
      <c r="W779" s="175"/>
      <c r="X779" s="175"/>
      <c r="Y779" s="175"/>
      <c r="Z779" s="175"/>
      <c r="AA779" s="175"/>
    </row>
    <row r="780" spans="1:27" s="176" customFormat="1">
      <c r="A780" s="1110"/>
      <c r="B780" s="336"/>
      <c r="C780" s="266" t="s">
        <v>548</v>
      </c>
      <c r="D780" s="419">
        <v>-2</v>
      </c>
      <c r="E780" s="420" t="s">
        <v>299</v>
      </c>
      <c r="F780" s="421">
        <v>17.78</v>
      </c>
      <c r="G780" s="422">
        <v>2</v>
      </c>
      <c r="H780" s="423" t="s">
        <v>299</v>
      </c>
      <c r="I780" s="424">
        <v>11</v>
      </c>
      <c r="J780" s="275" t="s">
        <v>309</v>
      </c>
      <c r="K780" s="434">
        <f>((G780-D780)*20+I780-F780)*0.3</f>
        <v>21.965999999999998</v>
      </c>
      <c r="L780" s="425"/>
      <c r="M780" s="489">
        <v>3.5</v>
      </c>
      <c r="N780" s="275"/>
      <c r="O780" s="275"/>
      <c r="P780" s="338"/>
      <c r="Q780" s="275">
        <v>2</v>
      </c>
      <c r="R780" s="346">
        <f>TRUNC(M780*K780*Q780,3)</f>
        <v>153.762</v>
      </c>
      <c r="S780" s="275" t="s">
        <v>151</v>
      </c>
      <c r="T780" s="276">
        <v>8</v>
      </c>
      <c r="U780" s="2224"/>
      <c r="V780" s="306">
        <f>V781</f>
        <v>285.25</v>
      </c>
      <c r="W780" s="175"/>
      <c r="X780" s="175"/>
      <c r="Y780" s="175"/>
      <c r="Z780" s="175"/>
      <c r="AA780" s="175"/>
    </row>
    <row r="781" spans="1:27" s="176" customFormat="1">
      <c r="A781" s="1110"/>
      <c r="B781" s="296"/>
      <c r="C781" s="1518" t="s">
        <v>548</v>
      </c>
      <c r="D781" s="1125">
        <v>2</v>
      </c>
      <c r="E781" s="298" t="s">
        <v>299</v>
      </c>
      <c r="F781" s="1235">
        <v>11</v>
      </c>
      <c r="G781" s="300">
        <v>2</v>
      </c>
      <c r="H781" s="301" t="s">
        <v>299</v>
      </c>
      <c r="I781" s="433">
        <v>15</v>
      </c>
      <c r="J781" s="1604" t="s">
        <v>309</v>
      </c>
      <c r="K781" s="434">
        <f>((G781-D781)*20+I781-F781)*0.3</f>
        <v>1.2</v>
      </c>
      <c r="L781" s="1604"/>
      <c r="M781" s="1235">
        <v>3.5</v>
      </c>
      <c r="N781" s="298"/>
      <c r="O781" s="1125"/>
      <c r="P781" s="1697"/>
      <c r="Q781" s="1136">
        <v>2</v>
      </c>
      <c r="R781" s="346">
        <f>TRUNC(M781*K781*Q781,3)</f>
        <v>8.4</v>
      </c>
      <c r="S781" s="1604" t="s">
        <v>151</v>
      </c>
      <c r="T781" s="1698">
        <v>8</v>
      </c>
      <c r="U781" s="341"/>
      <c r="V781" s="306">
        <f>V782</f>
        <v>285.25</v>
      </c>
      <c r="W781" s="175"/>
      <c r="X781" s="175"/>
      <c r="Y781" s="175"/>
      <c r="Z781" s="175"/>
      <c r="AA781" s="175"/>
    </row>
    <row r="782" spans="1:27" s="175" customFormat="1">
      <c r="A782" s="1110"/>
      <c r="B782" s="342"/>
      <c r="C782" s="339" t="s">
        <v>548</v>
      </c>
      <c r="D782" s="564">
        <v>-2</v>
      </c>
      <c r="E782" s="497" t="s">
        <v>299</v>
      </c>
      <c r="F782" s="498">
        <v>17.78</v>
      </c>
      <c r="G782" s="300">
        <v>2</v>
      </c>
      <c r="H782" s="301" t="s">
        <v>299</v>
      </c>
      <c r="I782" s="433">
        <v>11</v>
      </c>
      <c r="J782" s="340" t="s">
        <v>300</v>
      </c>
      <c r="K782" s="434">
        <f>(G782-D782)*20+I782-F782</f>
        <v>73.22</v>
      </c>
      <c r="L782" s="344"/>
      <c r="M782" s="434">
        <v>3.5</v>
      </c>
      <c r="N782" s="434">
        <f>M782*10</f>
        <v>35</v>
      </c>
      <c r="O782" s="345"/>
      <c r="P782" s="344"/>
      <c r="Q782" s="340">
        <f>K782/20</f>
        <v>3.661</v>
      </c>
      <c r="R782" s="346">
        <f>TRUNC(N782*Q782,3)</f>
        <v>128.13499999999999</v>
      </c>
      <c r="S782" s="406" t="s">
        <v>151</v>
      </c>
      <c r="T782" s="347">
        <v>8</v>
      </c>
      <c r="U782" s="435" t="s">
        <v>362</v>
      </c>
      <c r="V782" s="306">
        <f>V786</f>
        <v>285.25</v>
      </c>
    </row>
    <row r="783" spans="1:27" s="175" customFormat="1">
      <c r="A783" s="1110"/>
      <c r="B783" s="342"/>
      <c r="C783" s="339" t="s">
        <v>548</v>
      </c>
      <c r="D783" s="560">
        <v>2</v>
      </c>
      <c r="E783" s="464" t="s">
        <v>299</v>
      </c>
      <c r="F783" s="498">
        <v>11</v>
      </c>
      <c r="G783" s="458">
        <v>2</v>
      </c>
      <c r="H783" s="459" t="s">
        <v>299</v>
      </c>
      <c r="I783" s="545">
        <v>15</v>
      </c>
      <c r="J783" s="340" t="s">
        <v>300</v>
      </c>
      <c r="K783" s="434">
        <f>(G783-D783)*20+I783-F783</f>
        <v>4</v>
      </c>
      <c r="L783" s="344"/>
      <c r="M783" s="434">
        <v>3.5</v>
      </c>
      <c r="N783" s="434">
        <f>M783*5</f>
        <v>17.5</v>
      </c>
      <c r="O783" s="345"/>
      <c r="P783" s="344"/>
      <c r="Q783" s="340">
        <f>K783/20</f>
        <v>0.2</v>
      </c>
      <c r="R783" s="346">
        <f>TRUNC(N783*Q783,3)</f>
        <v>3.5</v>
      </c>
      <c r="S783" s="406" t="s">
        <v>151</v>
      </c>
      <c r="T783" s="347">
        <v>8</v>
      </c>
      <c r="U783" s="435" t="s">
        <v>362</v>
      </c>
      <c r="V783" s="306">
        <f>V786</f>
        <v>285.25</v>
      </c>
    </row>
    <row r="784" spans="1:27" s="175" customFormat="1">
      <c r="A784" s="1110"/>
      <c r="B784" s="342"/>
      <c r="C784" s="466" t="s">
        <v>548</v>
      </c>
      <c r="D784" s="560">
        <v>2</v>
      </c>
      <c r="E784" s="464" t="s">
        <v>299</v>
      </c>
      <c r="F784" s="498">
        <v>15</v>
      </c>
      <c r="G784" s="458">
        <v>5</v>
      </c>
      <c r="H784" s="459" t="s">
        <v>299</v>
      </c>
      <c r="I784" s="545">
        <v>0</v>
      </c>
      <c r="J784" s="340" t="s">
        <v>309</v>
      </c>
      <c r="K784" s="434">
        <f>((G784-D784)*20+I784-F784)*0.3</f>
        <v>13.5</v>
      </c>
      <c r="L784" s="344"/>
      <c r="M784" s="498">
        <v>3.5</v>
      </c>
      <c r="N784" s="434"/>
      <c r="O784" s="406"/>
      <c r="P784" s="344"/>
      <c r="Q784" s="463">
        <v>2</v>
      </c>
      <c r="R784" s="346">
        <f t="shared" ref="R784:R792" si="87">TRUNC(M784*K784*Q784,3)</f>
        <v>94.5</v>
      </c>
      <c r="S784" s="406" t="s">
        <v>151</v>
      </c>
      <c r="T784" s="347">
        <v>9</v>
      </c>
      <c r="U784" s="435"/>
      <c r="V784" s="174">
        <f>V786</f>
        <v>285.25</v>
      </c>
    </row>
    <row r="785" spans="1:22" s="688" customFormat="1">
      <c r="A785" s="1771"/>
      <c r="B785" s="756"/>
      <c r="C785" s="466" t="s">
        <v>548</v>
      </c>
      <c r="D785" s="560">
        <v>5</v>
      </c>
      <c r="E785" s="464" t="s">
        <v>299</v>
      </c>
      <c r="F785" s="498">
        <v>0</v>
      </c>
      <c r="G785" s="458">
        <v>6</v>
      </c>
      <c r="H785" s="459" t="s">
        <v>299</v>
      </c>
      <c r="I785" s="545">
        <v>14</v>
      </c>
      <c r="J785" s="340" t="s">
        <v>309</v>
      </c>
      <c r="K785" s="434">
        <f>((G785-D785)*20+I785-F785)*0.5</f>
        <v>17</v>
      </c>
      <c r="L785" s="344"/>
      <c r="M785" s="498">
        <v>3.5</v>
      </c>
      <c r="N785" s="434"/>
      <c r="O785" s="406"/>
      <c r="P785" s="344"/>
      <c r="Q785" s="463">
        <v>2</v>
      </c>
      <c r="R785" s="346">
        <f t="shared" si="87"/>
        <v>119</v>
      </c>
      <c r="S785" s="406" t="s">
        <v>151</v>
      </c>
      <c r="T785" s="347">
        <v>10</v>
      </c>
      <c r="U785" s="435" t="s">
        <v>418</v>
      </c>
      <c r="V785" s="713">
        <f>V813</f>
        <v>285.25</v>
      </c>
    </row>
    <row r="786" spans="1:22" s="688" customFormat="1">
      <c r="A786" s="1771"/>
      <c r="B786" s="756"/>
      <c r="C786" s="466" t="s">
        <v>548</v>
      </c>
      <c r="D786" s="560">
        <v>6</v>
      </c>
      <c r="E786" s="464" t="s">
        <v>299</v>
      </c>
      <c r="F786" s="498">
        <v>14</v>
      </c>
      <c r="G786" s="458">
        <v>7</v>
      </c>
      <c r="H786" s="459" t="s">
        <v>299</v>
      </c>
      <c r="I786" s="545">
        <v>4</v>
      </c>
      <c r="J786" s="340" t="s">
        <v>309</v>
      </c>
      <c r="K786" s="434">
        <f t="shared" ref="K786:K791" si="88">((G786-D786)*20+I786-F786)</f>
        <v>10</v>
      </c>
      <c r="L786" s="344"/>
      <c r="M786" s="498">
        <v>3.5</v>
      </c>
      <c r="N786" s="434"/>
      <c r="O786" s="406"/>
      <c r="P786" s="344"/>
      <c r="Q786" s="463">
        <v>2</v>
      </c>
      <c r="R786" s="346">
        <f t="shared" si="87"/>
        <v>70</v>
      </c>
      <c r="S786" s="406" t="s">
        <v>151</v>
      </c>
      <c r="T786" s="347">
        <v>11</v>
      </c>
      <c r="U786" s="435"/>
      <c r="V786" s="713">
        <f>V814</f>
        <v>285.25</v>
      </c>
    </row>
    <row r="787" spans="1:22" s="175" customFormat="1">
      <c r="A787" s="1110"/>
      <c r="B787" s="342"/>
      <c r="C787" s="466" t="s">
        <v>713</v>
      </c>
      <c r="D787" s="560">
        <f>G786</f>
        <v>7</v>
      </c>
      <c r="E787" s="464" t="s">
        <v>299</v>
      </c>
      <c r="F787" s="498">
        <f>I786</f>
        <v>4</v>
      </c>
      <c r="G787" s="458">
        <v>8</v>
      </c>
      <c r="H787" s="459" t="s">
        <v>299</v>
      </c>
      <c r="I787" s="545">
        <v>13</v>
      </c>
      <c r="J787" s="340" t="s">
        <v>309</v>
      </c>
      <c r="K787" s="434">
        <f t="shared" si="88"/>
        <v>29</v>
      </c>
      <c r="L787" s="344"/>
      <c r="M787" s="498">
        <v>3.5</v>
      </c>
      <c r="N787" s="434"/>
      <c r="O787" s="406"/>
      <c r="P787" s="344"/>
      <c r="Q787" s="463">
        <v>2</v>
      </c>
      <c r="R787" s="346">
        <f t="shared" si="87"/>
        <v>203</v>
      </c>
      <c r="S787" s="406" t="s">
        <v>151</v>
      </c>
      <c r="T787" s="347">
        <v>18</v>
      </c>
      <c r="U787" s="435"/>
      <c r="V787" s="306"/>
    </row>
    <row r="788" spans="1:22" s="175" customFormat="1">
      <c r="A788" s="1110"/>
      <c r="B788" s="342"/>
      <c r="C788" s="339" t="s">
        <v>703</v>
      </c>
      <c r="D788" s="496">
        <v>9</v>
      </c>
      <c r="E788" s="606" t="s">
        <v>299</v>
      </c>
      <c r="F788" s="498">
        <v>7</v>
      </c>
      <c r="G788" s="496">
        <v>9</v>
      </c>
      <c r="H788" s="606" t="s">
        <v>299</v>
      </c>
      <c r="I788" s="498">
        <v>13</v>
      </c>
      <c r="J788" s="340" t="s">
        <v>300</v>
      </c>
      <c r="K788" s="434">
        <f>((G788-D788)*20+I788-F788)</f>
        <v>6</v>
      </c>
      <c r="L788" s="496">
        <v>9.8000000000000007</v>
      </c>
      <c r="M788" s="498">
        <v>3.5</v>
      </c>
      <c r="N788" s="496">
        <f>K788*L788</f>
        <v>58.800000000000004</v>
      </c>
      <c r="O788" s="496"/>
      <c r="P788" s="461"/>
      <c r="Q788" s="463">
        <v>1</v>
      </c>
      <c r="R788" s="346">
        <f t="shared" si="87"/>
        <v>21</v>
      </c>
      <c r="S788" s="406" t="s">
        <v>151</v>
      </c>
      <c r="T788" s="347">
        <v>18</v>
      </c>
      <c r="U788" s="435"/>
      <c r="V788" s="306"/>
    </row>
    <row r="789" spans="1:22" s="175" customFormat="1">
      <c r="A789" s="1110"/>
      <c r="B789" s="342"/>
      <c r="C789" s="339" t="s">
        <v>703</v>
      </c>
      <c r="D789" s="496">
        <v>11</v>
      </c>
      <c r="E789" s="606" t="s">
        <v>299</v>
      </c>
      <c r="F789" s="498">
        <v>7</v>
      </c>
      <c r="G789" s="496">
        <v>11</v>
      </c>
      <c r="H789" s="606" t="s">
        <v>299</v>
      </c>
      <c r="I789" s="498">
        <v>13</v>
      </c>
      <c r="J789" s="340" t="s">
        <v>300</v>
      </c>
      <c r="K789" s="434">
        <f t="shared" si="88"/>
        <v>6</v>
      </c>
      <c r="L789" s="434">
        <v>9.8000000000000007</v>
      </c>
      <c r="M789" s="434">
        <v>3.5</v>
      </c>
      <c r="N789" s="434">
        <f>K789*L789</f>
        <v>58.800000000000004</v>
      </c>
      <c r="O789" s="434"/>
      <c r="P789" s="461"/>
      <c r="Q789" s="340">
        <v>1</v>
      </c>
      <c r="R789" s="346">
        <f t="shared" si="87"/>
        <v>21</v>
      </c>
      <c r="S789" s="345" t="s">
        <v>151</v>
      </c>
      <c r="T789" s="347">
        <v>18</v>
      </c>
      <c r="U789" s="435"/>
      <c r="V789" s="991"/>
    </row>
    <row r="790" spans="1:22" s="175" customFormat="1">
      <c r="A790" s="1110"/>
      <c r="B790" s="342"/>
      <c r="C790" s="339" t="s">
        <v>713</v>
      </c>
      <c r="D790" s="538">
        <v>9</v>
      </c>
      <c r="E790" s="535" t="s">
        <v>299</v>
      </c>
      <c r="F790" s="625">
        <v>16</v>
      </c>
      <c r="G790" s="1011">
        <v>11</v>
      </c>
      <c r="H790" s="456" t="s">
        <v>299</v>
      </c>
      <c r="I790" s="457">
        <v>7</v>
      </c>
      <c r="J790" s="509" t="s">
        <v>309</v>
      </c>
      <c r="K790" s="558">
        <f t="shared" si="88"/>
        <v>31</v>
      </c>
      <c r="L790" s="631"/>
      <c r="M790" s="625">
        <v>3.5</v>
      </c>
      <c r="N790" s="558"/>
      <c r="O790" s="1012"/>
      <c r="P790" s="631"/>
      <c r="Q790" s="534">
        <v>2</v>
      </c>
      <c r="R790" s="1013">
        <f t="shared" si="87"/>
        <v>217</v>
      </c>
      <c r="S790" s="1012" t="s">
        <v>151</v>
      </c>
      <c r="T790" s="539">
        <v>19</v>
      </c>
      <c r="U790" s="492"/>
      <c r="V790" s="306"/>
    </row>
    <row r="791" spans="1:22" s="175" customFormat="1">
      <c r="A791" s="1110"/>
      <c r="B791" s="342"/>
      <c r="C791" s="339" t="s">
        <v>713</v>
      </c>
      <c r="D791" s="538">
        <v>9</v>
      </c>
      <c r="E791" s="535" t="s">
        <v>299</v>
      </c>
      <c r="F791" s="625">
        <v>0</v>
      </c>
      <c r="G791" s="1011">
        <v>9</v>
      </c>
      <c r="H791" s="456" t="s">
        <v>299</v>
      </c>
      <c r="I791" s="457">
        <v>16</v>
      </c>
      <c r="J791" s="509" t="s">
        <v>309</v>
      </c>
      <c r="K791" s="558">
        <f t="shared" si="88"/>
        <v>16</v>
      </c>
      <c r="L791" s="631"/>
      <c r="M791" s="625">
        <v>3.5</v>
      </c>
      <c r="N791" s="558"/>
      <c r="O791" s="1012"/>
      <c r="P791" s="631"/>
      <c r="Q791" s="534">
        <v>1</v>
      </c>
      <c r="R791" s="1013">
        <f t="shared" si="87"/>
        <v>56</v>
      </c>
      <c r="S791" s="1012" t="s">
        <v>151</v>
      </c>
      <c r="T791" s="539">
        <v>19</v>
      </c>
      <c r="U791" s="492" t="s">
        <v>729</v>
      </c>
      <c r="V791" s="306"/>
    </row>
    <row r="792" spans="1:22" s="175" customFormat="1">
      <c r="A792" s="1110"/>
      <c r="B792" s="342"/>
      <c r="C792" s="339" t="s">
        <v>713</v>
      </c>
      <c r="D792" s="538">
        <v>11</v>
      </c>
      <c r="E792" s="535" t="s">
        <v>299</v>
      </c>
      <c r="F792" s="625">
        <v>7</v>
      </c>
      <c r="G792" s="1011">
        <v>11</v>
      </c>
      <c r="H792" s="456" t="s">
        <v>299</v>
      </c>
      <c r="I792" s="457">
        <v>10</v>
      </c>
      <c r="J792" s="509" t="s">
        <v>309</v>
      </c>
      <c r="K792" s="558">
        <f>((G792-D792)*20+I792-F792)</f>
        <v>3</v>
      </c>
      <c r="L792" s="631"/>
      <c r="M792" s="625">
        <v>3.5</v>
      </c>
      <c r="N792" s="558"/>
      <c r="O792" s="1012"/>
      <c r="P792" s="631"/>
      <c r="Q792" s="534">
        <v>2</v>
      </c>
      <c r="R792" s="1013">
        <f t="shared" si="87"/>
        <v>21</v>
      </c>
      <c r="S792" s="1012" t="s">
        <v>151</v>
      </c>
      <c r="T792" s="539">
        <v>20</v>
      </c>
      <c r="U792" s="492"/>
      <c r="V792" s="306"/>
    </row>
    <row r="793" spans="1:22" s="175" customFormat="1">
      <c r="A793" s="1110"/>
      <c r="B793" s="342"/>
      <c r="C793" s="339" t="s">
        <v>713</v>
      </c>
      <c r="D793" s="538">
        <v>8</v>
      </c>
      <c r="E793" s="535" t="s">
        <v>299</v>
      </c>
      <c r="F793" s="625">
        <v>10</v>
      </c>
      <c r="G793" s="496">
        <v>9</v>
      </c>
      <c r="H793" s="606" t="s">
        <v>299</v>
      </c>
      <c r="I793" s="498">
        <v>6</v>
      </c>
      <c r="J793" s="340" t="s">
        <v>300</v>
      </c>
      <c r="K793" s="558">
        <f>((G793-D793)*20+I793-F793)</f>
        <v>16</v>
      </c>
      <c r="L793" s="434">
        <v>9.8000000000000007</v>
      </c>
      <c r="M793" s="434">
        <v>3.5</v>
      </c>
      <c r="N793" s="434"/>
      <c r="O793" s="434"/>
      <c r="P793" s="461"/>
      <c r="Q793" s="340"/>
      <c r="R793" s="346"/>
      <c r="S793" s="1012"/>
      <c r="T793" s="539"/>
      <c r="U793" s="492" t="s">
        <v>778</v>
      </c>
      <c r="V793" s="306"/>
    </row>
    <row r="794" spans="1:22" s="175" customFormat="1">
      <c r="A794" s="1110"/>
      <c r="B794" s="342"/>
      <c r="C794" s="339" t="s">
        <v>713</v>
      </c>
      <c r="D794" s="538">
        <v>9</v>
      </c>
      <c r="E794" s="535" t="s">
        <v>299</v>
      </c>
      <c r="F794" s="625">
        <v>6</v>
      </c>
      <c r="G794" s="496">
        <v>9</v>
      </c>
      <c r="H794" s="606" t="s">
        <v>299</v>
      </c>
      <c r="I794" s="498">
        <v>16</v>
      </c>
      <c r="J794" s="340" t="s">
        <v>300</v>
      </c>
      <c r="K794" s="558">
        <f>((G794-D794)*20+I794-F794)</f>
        <v>10</v>
      </c>
      <c r="L794" s="434">
        <v>9.8000000000000007</v>
      </c>
      <c r="M794" s="434">
        <v>3.5</v>
      </c>
      <c r="N794" s="434"/>
      <c r="O794" s="434"/>
      <c r="P794" s="461"/>
      <c r="Q794" s="534">
        <v>2</v>
      </c>
      <c r="R794" s="1013">
        <f>TRUNC(M794*K794*Q794,3)</f>
        <v>70</v>
      </c>
      <c r="S794" s="1012" t="s">
        <v>151</v>
      </c>
      <c r="T794" s="539">
        <v>21</v>
      </c>
      <c r="U794" s="492" t="s">
        <v>780</v>
      </c>
      <c r="V794" s="306"/>
    </row>
    <row r="795" spans="1:22" s="175" customFormat="1">
      <c r="A795" s="1110"/>
      <c r="B795" s="342"/>
      <c r="C795" s="339" t="s">
        <v>713</v>
      </c>
      <c r="D795" s="538">
        <v>11</v>
      </c>
      <c r="E795" s="535" t="s">
        <v>299</v>
      </c>
      <c r="F795" s="625">
        <v>7</v>
      </c>
      <c r="G795" s="496">
        <v>12</v>
      </c>
      <c r="H795" s="606" t="s">
        <v>299</v>
      </c>
      <c r="I795" s="498">
        <v>19</v>
      </c>
      <c r="J795" s="340" t="s">
        <v>300</v>
      </c>
      <c r="K795" s="558">
        <f>((G795-D795)*20+I795-F795)</f>
        <v>32</v>
      </c>
      <c r="L795" s="434">
        <v>9.8000000000000007</v>
      </c>
      <c r="M795" s="434">
        <v>3.5</v>
      </c>
      <c r="N795" s="434">
        <f>L795*M795</f>
        <v>34.300000000000004</v>
      </c>
      <c r="O795" s="434"/>
      <c r="P795" s="461"/>
      <c r="Q795" s="534">
        <v>2</v>
      </c>
      <c r="R795" s="1013">
        <f>TRUNC(M795*K795*Q795,3)</f>
        <v>224</v>
      </c>
      <c r="S795" s="1012" t="s">
        <v>151</v>
      </c>
      <c r="T795" s="539">
        <v>21</v>
      </c>
      <c r="U795" s="492" t="s">
        <v>781</v>
      </c>
      <c r="V795" s="306"/>
    </row>
    <row r="796" spans="1:22" s="175" customFormat="1">
      <c r="A796" s="1110"/>
      <c r="B796" s="342"/>
      <c r="C796" s="339" t="s">
        <v>713</v>
      </c>
      <c r="D796" s="623">
        <v>25</v>
      </c>
      <c r="E796" s="535" t="s">
        <v>299</v>
      </c>
      <c r="F796" s="625">
        <v>16</v>
      </c>
      <c r="G796" s="496">
        <v>31</v>
      </c>
      <c r="H796" s="606" t="s">
        <v>299</v>
      </c>
      <c r="I796" s="498">
        <v>12</v>
      </c>
      <c r="J796" s="340" t="s">
        <v>300</v>
      </c>
      <c r="K796" s="558">
        <f>((G796-D796)*20+I796-F796)</f>
        <v>116</v>
      </c>
      <c r="L796" s="434">
        <v>9.8000000000000007</v>
      </c>
      <c r="M796" s="434">
        <v>3.5</v>
      </c>
      <c r="N796" s="434">
        <f>L796*M796</f>
        <v>34.300000000000004</v>
      </c>
      <c r="O796" s="434"/>
      <c r="P796" s="461"/>
      <c r="Q796" s="534">
        <v>2</v>
      </c>
      <c r="R796" s="1013">
        <f>TRUNC(M796*K796*Q796,3)</f>
        <v>812</v>
      </c>
      <c r="S796" s="1012" t="s">
        <v>151</v>
      </c>
      <c r="T796" s="539">
        <v>23</v>
      </c>
      <c r="U796" s="492"/>
      <c r="V796" s="306"/>
    </row>
    <row r="797" spans="1:22" s="175" customFormat="1">
      <c r="A797" s="1110"/>
      <c r="B797" s="342"/>
      <c r="C797" s="339" t="s">
        <v>713</v>
      </c>
      <c r="D797" s="623">
        <v>25</v>
      </c>
      <c r="E797" s="535"/>
      <c r="F797" s="625"/>
      <c r="G797" s="496"/>
      <c r="H797" s="606"/>
      <c r="I797" s="498"/>
      <c r="J797" s="340" t="s">
        <v>300</v>
      </c>
      <c r="K797" s="558"/>
      <c r="L797" s="434">
        <v>10.4</v>
      </c>
      <c r="M797" s="434">
        <v>3.5</v>
      </c>
      <c r="N797" s="434">
        <f>L797*M797</f>
        <v>36.4</v>
      </c>
      <c r="O797" s="434"/>
      <c r="P797" s="461"/>
      <c r="Q797" s="534">
        <v>1</v>
      </c>
      <c r="R797" s="1013">
        <f>N797</f>
        <v>36.4</v>
      </c>
      <c r="S797" s="1012" t="s">
        <v>151</v>
      </c>
      <c r="T797" s="539">
        <v>24</v>
      </c>
      <c r="U797" s="492" t="s">
        <v>959</v>
      </c>
      <c r="V797" s="306"/>
    </row>
    <row r="798" spans="1:22" s="175" customFormat="1">
      <c r="A798" s="1110"/>
      <c r="B798" s="342"/>
      <c r="C798" s="339" t="s">
        <v>713</v>
      </c>
      <c r="D798" s="623">
        <f>D827</f>
        <v>35</v>
      </c>
      <c r="E798" s="624" t="str">
        <f t="shared" ref="E798:I798" si="89">E827</f>
        <v>+</v>
      </c>
      <c r="F798" s="625">
        <f t="shared" si="89"/>
        <v>14</v>
      </c>
      <c r="G798" s="623">
        <f t="shared" si="89"/>
        <v>39</v>
      </c>
      <c r="H798" s="624" t="str">
        <f t="shared" si="89"/>
        <v>+</v>
      </c>
      <c r="I798" s="625">
        <f t="shared" si="89"/>
        <v>16</v>
      </c>
      <c r="J798" s="340" t="s">
        <v>300</v>
      </c>
      <c r="K798" s="558">
        <f t="shared" ref="K798:K802" si="90">((G798-D798)*20+I798-F798)</f>
        <v>82</v>
      </c>
      <c r="L798" s="434"/>
      <c r="M798" s="434">
        <v>3.5</v>
      </c>
      <c r="N798" s="434"/>
      <c r="O798" s="434"/>
      <c r="P798" s="461"/>
      <c r="Q798" s="534">
        <v>2</v>
      </c>
      <c r="R798" s="1013">
        <f>TRUNC(M798*K798*Q798,3)</f>
        <v>574</v>
      </c>
      <c r="S798" s="1012" t="s">
        <v>151</v>
      </c>
      <c r="T798" s="539">
        <v>25</v>
      </c>
      <c r="U798" s="492" t="s">
        <v>1066</v>
      </c>
      <c r="V798" s="306"/>
    </row>
    <row r="799" spans="1:22" s="175" customFormat="1" ht="60">
      <c r="A799" s="1110"/>
      <c r="B799" s="342"/>
      <c r="C799" s="339" t="s">
        <v>713</v>
      </c>
      <c r="D799" s="623">
        <f>D798</f>
        <v>35</v>
      </c>
      <c r="E799" s="624" t="s">
        <v>299</v>
      </c>
      <c r="F799" s="625">
        <f t="shared" ref="F799:I799" si="91">F798</f>
        <v>14</v>
      </c>
      <c r="G799" s="623">
        <f t="shared" si="91"/>
        <v>39</v>
      </c>
      <c r="H799" s="624" t="s">
        <v>299</v>
      </c>
      <c r="I799" s="625">
        <f t="shared" si="91"/>
        <v>16</v>
      </c>
      <c r="J799" s="340" t="s">
        <v>300</v>
      </c>
      <c r="K799" s="558">
        <f t="shared" si="90"/>
        <v>82</v>
      </c>
      <c r="L799" s="434">
        <v>3.5</v>
      </c>
      <c r="M799" s="434">
        <v>3.5</v>
      </c>
      <c r="N799" s="434">
        <f>L799*M799</f>
        <v>12.25</v>
      </c>
      <c r="O799" s="434"/>
      <c r="P799" s="461"/>
      <c r="Q799" s="534">
        <v>5</v>
      </c>
      <c r="R799" s="1013">
        <f>Q799*N799</f>
        <v>61.25</v>
      </c>
      <c r="S799" s="1012" t="s">
        <v>151</v>
      </c>
      <c r="T799" s="539">
        <v>25</v>
      </c>
      <c r="U799" s="492" t="s">
        <v>1067</v>
      </c>
      <c r="V799" s="306"/>
    </row>
    <row r="800" spans="1:22" s="175" customFormat="1">
      <c r="A800" s="1110"/>
      <c r="B800" s="342"/>
      <c r="C800" s="339" t="s">
        <v>713</v>
      </c>
      <c r="D800" s="623">
        <f t="shared" ref="D800:I800" si="92">D316</f>
        <v>31</v>
      </c>
      <c r="E800" s="624" t="str">
        <f t="shared" si="92"/>
        <v>+</v>
      </c>
      <c r="F800" s="625">
        <f t="shared" si="92"/>
        <v>12</v>
      </c>
      <c r="G800" s="623">
        <f t="shared" si="92"/>
        <v>35</v>
      </c>
      <c r="H800" s="624" t="str">
        <f t="shared" si="92"/>
        <v>+</v>
      </c>
      <c r="I800" s="625">
        <f t="shared" si="92"/>
        <v>14</v>
      </c>
      <c r="J800" s="340" t="s">
        <v>300</v>
      </c>
      <c r="K800" s="558">
        <f t="shared" si="90"/>
        <v>82</v>
      </c>
      <c r="L800" s="434"/>
      <c r="M800" s="434">
        <v>3.5</v>
      </c>
      <c r="N800" s="434"/>
      <c r="O800" s="434"/>
      <c r="P800" s="461"/>
      <c r="Q800" s="534">
        <v>2</v>
      </c>
      <c r="R800" s="1013">
        <f>TRUNC(M800*K800*Q800,3)</f>
        <v>574</v>
      </c>
      <c r="S800" s="1012" t="s">
        <v>151</v>
      </c>
      <c r="T800" s="539">
        <v>26</v>
      </c>
      <c r="U800" s="492" t="s">
        <v>1066</v>
      </c>
      <c r="V800" s="306"/>
    </row>
    <row r="801" spans="1:22" s="175" customFormat="1" ht="60">
      <c r="A801" s="1110"/>
      <c r="B801" s="342"/>
      <c r="C801" s="339" t="s">
        <v>713</v>
      </c>
      <c r="D801" s="623">
        <v>31</v>
      </c>
      <c r="E801" s="624" t="s">
        <v>299</v>
      </c>
      <c r="F801" s="625">
        <v>12</v>
      </c>
      <c r="G801" s="623">
        <v>35</v>
      </c>
      <c r="H801" s="624" t="s">
        <v>299</v>
      </c>
      <c r="I801" s="625">
        <v>14</v>
      </c>
      <c r="J801" s="340" t="s">
        <v>300</v>
      </c>
      <c r="K801" s="558">
        <f t="shared" si="90"/>
        <v>82</v>
      </c>
      <c r="L801" s="434">
        <v>3.5</v>
      </c>
      <c r="M801" s="434">
        <v>3.5</v>
      </c>
      <c r="N801" s="434">
        <f>L801*M801</f>
        <v>12.25</v>
      </c>
      <c r="O801" s="434"/>
      <c r="P801" s="461"/>
      <c r="Q801" s="534">
        <v>5</v>
      </c>
      <c r="R801" s="1013">
        <f>Q801*N801</f>
        <v>61.25</v>
      </c>
      <c r="S801" s="1012" t="s">
        <v>151</v>
      </c>
      <c r="T801" s="539">
        <v>26</v>
      </c>
      <c r="U801" s="492" t="s">
        <v>1067</v>
      </c>
      <c r="V801" s="306"/>
    </row>
    <row r="802" spans="1:22" s="175" customFormat="1">
      <c r="A802" s="1110"/>
      <c r="B802" s="342"/>
      <c r="C802" s="339" t="s">
        <v>713</v>
      </c>
      <c r="D802" s="623">
        <f t="shared" ref="D802:I802" si="93">D317</f>
        <v>39</v>
      </c>
      <c r="E802" s="624" t="str">
        <f t="shared" si="93"/>
        <v>+</v>
      </c>
      <c r="F802" s="625">
        <f t="shared" si="93"/>
        <v>16</v>
      </c>
      <c r="G802" s="624">
        <f t="shared" si="93"/>
        <v>41</v>
      </c>
      <c r="H802" s="624" t="str">
        <f t="shared" si="93"/>
        <v>+</v>
      </c>
      <c r="I802" s="625">
        <f t="shared" si="93"/>
        <v>16</v>
      </c>
      <c r="J802" s="340" t="s">
        <v>300</v>
      </c>
      <c r="K802" s="558">
        <f t="shared" si="90"/>
        <v>40</v>
      </c>
      <c r="L802" s="434">
        <v>3.5</v>
      </c>
      <c r="M802" s="434">
        <v>3.5</v>
      </c>
      <c r="N802" s="434"/>
      <c r="O802" s="434"/>
      <c r="P802" s="461"/>
      <c r="Q802" s="534">
        <v>2</v>
      </c>
      <c r="R802" s="1013">
        <f>TRUNC(M802*K802*Q802,3)</f>
        <v>280</v>
      </c>
      <c r="S802" s="1012" t="s">
        <v>151</v>
      </c>
      <c r="T802" s="539">
        <v>26</v>
      </c>
      <c r="U802" s="492" t="s">
        <v>1066</v>
      </c>
      <c r="V802" s="306"/>
    </row>
    <row r="803" spans="1:22" s="175" customFormat="1" ht="60">
      <c r="A803" s="1110"/>
      <c r="B803" s="342"/>
      <c r="C803" s="339" t="s">
        <v>713</v>
      </c>
      <c r="D803" s="623">
        <v>39</v>
      </c>
      <c r="E803" s="624" t="s">
        <v>299</v>
      </c>
      <c r="F803" s="625">
        <v>16</v>
      </c>
      <c r="G803" s="624">
        <v>41</v>
      </c>
      <c r="H803" s="624" t="s">
        <v>299</v>
      </c>
      <c r="I803" s="625">
        <v>16</v>
      </c>
      <c r="J803" s="340" t="s">
        <v>300</v>
      </c>
      <c r="K803" s="558">
        <f>((G803-D803)*20+I803-F803)</f>
        <v>40</v>
      </c>
      <c r="L803" s="434">
        <v>3.5</v>
      </c>
      <c r="M803" s="434">
        <v>3.5</v>
      </c>
      <c r="N803" s="434">
        <f>L803*M803</f>
        <v>12.25</v>
      </c>
      <c r="O803" s="434"/>
      <c r="P803" s="461"/>
      <c r="Q803" s="534">
        <v>5</v>
      </c>
      <c r="R803" s="1013">
        <f>Q803*N803</f>
        <v>61.25</v>
      </c>
      <c r="S803" s="1012" t="s">
        <v>151</v>
      </c>
      <c r="T803" s="539">
        <v>26</v>
      </c>
      <c r="U803" s="492" t="s">
        <v>1067</v>
      </c>
      <c r="V803" s="306"/>
    </row>
    <row r="804" spans="1:22" s="175" customFormat="1">
      <c r="A804" s="1110"/>
      <c r="B804" s="342"/>
      <c r="C804" s="339" t="s">
        <v>713</v>
      </c>
      <c r="D804" s="623">
        <v>41</v>
      </c>
      <c r="E804" s="624" t="str">
        <f>E319</f>
        <v>+</v>
      </c>
      <c r="F804" s="625">
        <v>16</v>
      </c>
      <c r="G804" s="624">
        <v>42</v>
      </c>
      <c r="H804" s="624" t="str">
        <f>H319</f>
        <v>+</v>
      </c>
      <c r="I804" s="625">
        <f>I319</f>
        <v>12</v>
      </c>
      <c r="J804" s="340" t="s">
        <v>300</v>
      </c>
      <c r="K804" s="558">
        <f t="shared" ref="K804:K805" si="94">((G804-D804)*20+I804-F804)</f>
        <v>16</v>
      </c>
      <c r="L804" s="434">
        <v>3.5</v>
      </c>
      <c r="M804" s="434">
        <v>3.5</v>
      </c>
      <c r="N804" s="434"/>
      <c r="O804" s="434"/>
      <c r="P804" s="461"/>
      <c r="Q804" s="534">
        <v>2</v>
      </c>
      <c r="R804" s="1013">
        <f>TRUNC(M804*K804*Q804,3)</f>
        <v>112</v>
      </c>
      <c r="S804" s="1012" t="s">
        <v>151</v>
      </c>
      <c r="T804" s="539">
        <v>27</v>
      </c>
      <c r="U804" s="492" t="s">
        <v>1066</v>
      </c>
      <c r="V804" s="306"/>
    </row>
    <row r="805" spans="1:22" s="175" customFormat="1" ht="18.600000000000001" customHeight="1">
      <c r="A805" s="1110"/>
      <c r="B805" s="342"/>
      <c r="C805" s="339" t="s">
        <v>713</v>
      </c>
      <c r="D805" s="623">
        <v>41</v>
      </c>
      <c r="E805" s="624" t="s">
        <v>299</v>
      </c>
      <c r="F805" s="625">
        <v>16</v>
      </c>
      <c r="G805" s="624">
        <v>42</v>
      </c>
      <c r="H805" s="624" t="s">
        <v>299</v>
      </c>
      <c r="I805" s="625">
        <v>16</v>
      </c>
      <c r="J805" s="340" t="s">
        <v>300</v>
      </c>
      <c r="K805" s="558">
        <f t="shared" si="94"/>
        <v>20</v>
      </c>
      <c r="L805" s="434">
        <v>3.5</v>
      </c>
      <c r="M805" s="434">
        <v>3.5</v>
      </c>
      <c r="N805" s="434">
        <f>L805*M805</f>
        <v>12.25</v>
      </c>
      <c r="O805" s="434"/>
      <c r="P805" s="461"/>
      <c r="Q805" s="534">
        <v>5</v>
      </c>
      <c r="R805" s="1013">
        <f>Q805*N805</f>
        <v>61.25</v>
      </c>
      <c r="S805" s="1012" t="s">
        <v>151</v>
      </c>
      <c r="T805" s="539">
        <v>27</v>
      </c>
      <c r="U805" s="492" t="s">
        <v>1067</v>
      </c>
      <c r="V805" s="306"/>
    </row>
    <row r="806" spans="1:22" s="688" customFormat="1">
      <c r="A806" s="1771"/>
      <c r="B806" s="756"/>
      <c r="C806" s="766" t="s">
        <v>713</v>
      </c>
      <c r="D806" s="770">
        <v>42</v>
      </c>
      <c r="E806" s="1210" t="s">
        <v>299</v>
      </c>
      <c r="F806" s="771">
        <v>14</v>
      </c>
      <c r="G806" s="1210">
        <v>43</v>
      </c>
      <c r="H806" s="1210" t="str">
        <f>H321</f>
        <v>+</v>
      </c>
      <c r="I806" s="771">
        <v>14</v>
      </c>
      <c r="J806" s="438" t="s">
        <v>300</v>
      </c>
      <c r="K806" s="553">
        <f t="shared" ref="K806:K807" si="95">((G806-D806)*20+I806-F806)</f>
        <v>20</v>
      </c>
      <c r="L806" s="439">
        <v>3.5</v>
      </c>
      <c r="M806" s="439">
        <v>3.5</v>
      </c>
      <c r="N806" s="439"/>
      <c r="O806" s="439"/>
      <c r="P806" s="453"/>
      <c r="Q806" s="896">
        <v>2</v>
      </c>
      <c r="R806" s="1155">
        <f>TRUNC(M806*K806*Q806,3)</f>
        <v>140</v>
      </c>
      <c r="S806" s="1156" t="s">
        <v>151</v>
      </c>
      <c r="T806" s="892">
        <v>28</v>
      </c>
      <c r="U806" s="595" t="s">
        <v>1066</v>
      </c>
      <c r="V806" s="713"/>
    </row>
    <row r="807" spans="1:22" s="688" customFormat="1" ht="18.600000000000001" customHeight="1">
      <c r="A807" s="1771"/>
      <c r="B807" s="756"/>
      <c r="C807" s="766" t="s">
        <v>713</v>
      </c>
      <c r="D807" s="770">
        <v>42</v>
      </c>
      <c r="E807" s="1210" t="s">
        <v>299</v>
      </c>
      <c r="F807" s="771">
        <v>14</v>
      </c>
      <c r="G807" s="1210">
        <v>43</v>
      </c>
      <c r="H807" s="1210" t="s">
        <v>299</v>
      </c>
      <c r="I807" s="771">
        <v>14</v>
      </c>
      <c r="J807" s="438" t="s">
        <v>300</v>
      </c>
      <c r="K807" s="553">
        <f t="shared" si="95"/>
        <v>20</v>
      </c>
      <c r="L807" s="439">
        <v>3.5</v>
      </c>
      <c r="M807" s="439">
        <v>3.5</v>
      </c>
      <c r="N807" s="439">
        <f>L807*M807</f>
        <v>12.25</v>
      </c>
      <c r="O807" s="439"/>
      <c r="P807" s="453"/>
      <c r="Q807" s="896">
        <v>5</v>
      </c>
      <c r="R807" s="1155">
        <f>Q807*N807</f>
        <v>61.25</v>
      </c>
      <c r="S807" s="1156" t="s">
        <v>151</v>
      </c>
      <c r="T807" s="892">
        <v>28</v>
      </c>
      <c r="U807" s="595" t="s">
        <v>1067</v>
      </c>
      <c r="V807" s="713"/>
    </row>
    <row r="808" spans="1:22" s="688" customFormat="1">
      <c r="A808" s="1771"/>
      <c r="B808" s="756"/>
      <c r="C808" s="766" t="s">
        <v>1164</v>
      </c>
      <c r="D808" s="770">
        <f>D518</f>
        <v>41</v>
      </c>
      <c r="E808" s="1210" t="s">
        <v>299</v>
      </c>
      <c r="F808" s="1210">
        <f t="shared" ref="F808" si="96">F518</f>
        <v>16</v>
      </c>
      <c r="G808" s="770">
        <v>41</v>
      </c>
      <c r="H808" s="1210" t="s">
        <v>299</v>
      </c>
      <c r="I808" s="771">
        <v>19</v>
      </c>
      <c r="J808" s="438" t="s">
        <v>300</v>
      </c>
      <c r="K808" s="553">
        <f t="shared" ref="K808" si="97">((G808-D808)*20+I808-F808)</f>
        <v>3</v>
      </c>
      <c r="L808" s="439">
        <v>3.5</v>
      </c>
      <c r="M808" s="439">
        <v>3.5</v>
      </c>
      <c r="N808" s="439">
        <f>L808*M808</f>
        <v>12.25</v>
      </c>
      <c r="O808" s="439"/>
      <c r="P808" s="453"/>
      <c r="Q808" s="896">
        <v>2</v>
      </c>
      <c r="R808" s="1155">
        <f>TRUNC(M808*K808*Q808,3)</f>
        <v>21</v>
      </c>
      <c r="S808" s="1156" t="s">
        <v>151</v>
      </c>
      <c r="T808" s="892">
        <v>28</v>
      </c>
      <c r="U808" s="595" t="s">
        <v>1066</v>
      </c>
      <c r="V808" s="713"/>
    </row>
    <row r="809" spans="1:22" s="688" customFormat="1">
      <c r="A809" s="1771"/>
      <c r="B809" s="756"/>
      <c r="C809" s="766" t="s">
        <v>1165</v>
      </c>
      <c r="D809" s="770">
        <f t="shared" ref="D809:F809" si="98">D519</f>
        <v>31</v>
      </c>
      <c r="E809" s="1210" t="s">
        <v>299</v>
      </c>
      <c r="F809" s="1210">
        <f t="shared" si="98"/>
        <v>12</v>
      </c>
      <c r="G809" s="770">
        <v>31</v>
      </c>
      <c r="H809" s="1210" t="s">
        <v>299</v>
      </c>
      <c r="I809" s="771">
        <v>15</v>
      </c>
      <c r="J809" s="438" t="s">
        <v>300</v>
      </c>
      <c r="K809" s="553">
        <f t="shared" ref="K809:K811" si="99">((G809-D809)*20+I809-F809)</f>
        <v>3</v>
      </c>
      <c r="L809" s="439">
        <v>3.5</v>
      </c>
      <c r="M809" s="439">
        <v>3.5</v>
      </c>
      <c r="N809" s="439">
        <f t="shared" ref="N809:N811" si="100">L809*M809</f>
        <v>12.25</v>
      </c>
      <c r="O809" s="439"/>
      <c r="P809" s="453"/>
      <c r="Q809" s="896">
        <v>2</v>
      </c>
      <c r="R809" s="1155">
        <f>TRUNC(M809*K809*Q809,3)</f>
        <v>21</v>
      </c>
      <c r="S809" s="1156" t="s">
        <v>151</v>
      </c>
      <c r="T809" s="892">
        <v>28</v>
      </c>
      <c r="U809" s="595" t="s">
        <v>1066</v>
      </c>
      <c r="V809" s="713"/>
    </row>
    <row r="810" spans="1:22" s="688" customFormat="1">
      <c r="A810" s="1771"/>
      <c r="B810" s="756"/>
      <c r="C810" s="766" t="s">
        <v>1166</v>
      </c>
      <c r="D810" s="770">
        <v>33</v>
      </c>
      <c r="E810" s="1210" t="s">
        <v>299</v>
      </c>
      <c r="F810" s="1210">
        <v>14</v>
      </c>
      <c r="G810" s="770">
        <v>33</v>
      </c>
      <c r="H810" s="1210" t="s">
        <v>299</v>
      </c>
      <c r="I810" s="771">
        <v>17</v>
      </c>
      <c r="J810" s="438" t="s">
        <v>300</v>
      </c>
      <c r="K810" s="553">
        <f t="shared" si="99"/>
        <v>3</v>
      </c>
      <c r="L810" s="439">
        <v>3.5</v>
      </c>
      <c r="M810" s="439">
        <v>3.5</v>
      </c>
      <c r="N810" s="439">
        <f>L810*M810</f>
        <v>12.25</v>
      </c>
      <c r="O810" s="439"/>
      <c r="P810" s="453"/>
      <c r="Q810" s="896">
        <v>2</v>
      </c>
      <c r="R810" s="1155">
        <f>TRUNC(M810*K810*Q810,3)</f>
        <v>21</v>
      </c>
      <c r="S810" s="1156" t="s">
        <v>151</v>
      </c>
      <c r="T810" s="892">
        <v>28</v>
      </c>
      <c r="U810" s="595" t="s">
        <v>1066</v>
      </c>
      <c r="V810" s="713"/>
    </row>
    <row r="811" spans="1:22" s="688" customFormat="1">
      <c r="A811" s="1771"/>
      <c r="B811" s="756"/>
      <c r="C811" s="766" t="s">
        <v>1167</v>
      </c>
      <c r="D811" s="770">
        <f t="shared" ref="D811:F811" si="101">D521</f>
        <v>41</v>
      </c>
      <c r="E811" s="1210" t="s">
        <v>299</v>
      </c>
      <c r="F811" s="1210">
        <f t="shared" si="101"/>
        <v>16</v>
      </c>
      <c r="G811" s="770">
        <v>41</v>
      </c>
      <c r="H811" s="1210" t="s">
        <v>299</v>
      </c>
      <c r="I811" s="771">
        <v>19</v>
      </c>
      <c r="J811" s="438" t="s">
        <v>300</v>
      </c>
      <c r="K811" s="553">
        <f t="shared" si="99"/>
        <v>3</v>
      </c>
      <c r="L811" s="439">
        <v>3.5</v>
      </c>
      <c r="M811" s="439">
        <v>3.5</v>
      </c>
      <c r="N811" s="439">
        <f t="shared" si="100"/>
        <v>12.25</v>
      </c>
      <c r="O811" s="439"/>
      <c r="P811" s="453"/>
      <c r="Q811" s="896">
        <v>2</v>
      </c>
      <c r="R811" s="1155">
        <f>TRUNC(M811*K811*Q811,3)</f>
        <v>21</v>
      </c>
      <c r="S811" s="1156" t="s">
        <v>151</v>
      </c>
      <c r="T811" s="892">
        <v>28</v>
      </c>
      <c r="U811" s="595" t="s">
        <v>1066</v>
      </c>
      <c r="V811" s="713"/>
    </row>
    <row r="812" spans="1:22" s="688" customFormat="1">
      <c r="A812" s="1771"/>
      <c r="B812" s="1386"/>
      <c r="C812" s="1018"/>
      <c r="D812" s="1173"/>
      <c r="E812" s="1218"/>
      <c r="F812" s="1717"/>
      <c r="G812" s="1218"/>
      <c r="H812" s="1218"/>
      <c r="I812" s="1197"/>
      <c r="J812" s="1493"/>
      <c r="K812" s="1408"/>
      <c r="L812" s="1492"/>
      <c r="M812" s="1492"/>
      <c r="N812" s="1492"/>
      <c r="O812" s="1492"/>
      <c r="P812" s="1495"/>
      <c r="Q812" s="1718"/>
      <c r="R812" s="1722"/>
      <c r="S812" s="1723"/>
      <c r="T812" s="1721"/>
      <c r="U812" s="1226"/>
      <c r="V812" s="713"/>
    </row>
    <row r="813" spans="1:22" s="40" customFormat="1">
      <c r="A813" s="1106"/>
      <c r="B813" s="239"/>
      <c r="C813" s="1603"/>
      <c r="D813" s="2527" t="s">
        <v>257</v>
      </c>
      <c r="E813" s="2528"/>
      <c r="F813" s="2528"/>
      <c r="G813" s="2528"/>
      <c r="H813" s="2528"/>
      <c r="I813" s="2529"/>
      <c r="J813" s="2490">
        <f>VLOOKUP(A815,'11 - FINANCEIRA'!$A$16:$AE$156,30,FALSE)</f>
        <v>5984</v>
      </c>
      <c r="K813" s="2491"/>
      <c r="L813" s="309" t="str">
        <f>VLOOKUP(A815,'11 - FINANCEIRA'!_xlnm.Print_Area,4,FALSE)</f>
        <v>m²</v>
      </c>
      <c r="M813" s="2556" t="s">
        <v>258</v>
      </c>
      <c r="N813" s="2557"/>
      <c r="O813" s="2557"/>
      <c r="P813" s="2557"/>
      <c r="Q813" s="2558"/>
      <c r="R813" s="248">
        <f>SUM(R780:R812)</f>
        <v>4328.9470000000001</v>
      </c>
      <c r="S813" s="310" t="str">
        <f>L813</f>
        <v>m²</v>
      </c>
      <c r="T813" s="321"/>
      <c r="U813" s="322"/>
      <c r="V813" s="174">
        <f>V814</f>
        <v>285.25</v>
      </c>
    </row>
    <row r="814" spans="1:22" s="40" customFormat="1">
      <c r="A814" s="1106"/>
      <c r="B814" s="1123"/>
      <c r="C814" s="2182"/>
      <c r="D814" s="2521" t="s">
        <v>259</v>
      </c>
      <c r="E814" s="2522"/>
      <c r="F814" s="2522"/>
      <c r="G814" s="2522"/>
      <c r="H814" s="2522"/>
      <c r="I814" s="2523"/>
      <c r="J814" s="2515">
        <f>R813/J813</f>
        <v>0.72342028743315512</v>
      </c>
      <c r="K814" s="2516"/>
      <c r="L814" s="2554"/>
      <c r="M814" s="2556" t="s">
        <v>260</v>
      </c>
      <c r="N814" s="2557"/>
      <c r="O814" s="2557"/>
      <c r="P814" s="2557"/>
      <c r="Q814" s="2558"/>
      <c r="R814" s="248">
        <f>VLOOKUP(A815,'11 - FINANCEIRA'!_xlnm.Print_Area,8,FALSE)</f>
        <v>4043.6970000000001</v>
      </c>
      <c r="S814" s="249" t="str">
        <f>L813</f>
        <v>m²</v>
      </c>
      <c r="T814" s="244"/>
      <c r="U814" s="1124"/>
      <c r="V814" s="174">
        <f>V815</f>
        <v>285.25</v>
      </c>
    </row>
    <row r="815" spans="1:22" s="40" customFormat="1">
      <c r="A815" s="1106" t="s">
        <v>64</v>
      </c>
      <c r="B815" s="250"/>
      <c r="C815" s="598"/>
      <c r="D815" s="2539"/>
      <c r="E815" s="2540"/>
      <c r="F815" s="2540"/>
      <c r="G815" s="2540"/>
      <c r="H815" s="2540"/>
      <c r="I815" s="2541"/>
      <c r="J815" s="2517"/>
      <c r="K815" s="2518"/>
      <c r="L815" s="2555"/>
      <c r="M815" s="2556" t="s">
        <v>261</v>
      </c>
      <c r="N815" s="2557"/>
      <c r="O815" s="2557"/>
      <c r="P815" s="2557"/>
      <c r="Q815" s="2558"/>
      <c r="R815" s="248">
        <f>R813-R814</f>
        <v>285.25</v>
      </c>
      <c r="S815" s="249" t="str">
        <f>L813</f>
        <v>m²</v>
      </c>
      <c r="T815" s="562"/>
      <c r="U815" s="563"/>
      <c r="V815" s="174">
        <f>R815</f>
        <v>285.25</v>
      </c>
    </row>
    <row r="816" spans="1:22" s="40" customFormat="1" hidden="1">
      <c r="A816" s="1106"/>
      <c r="B816" s="2087"/>
      <c r="C816" s="2088"/>
      <c r="D816" s="2089"/>
      <c r="E816" s="2090"/>
      <c r="F816" s="2089"/>
      <c r="G816" s="2089"/>
      <c r="H816" s="2089"/>
      <c r="I816" s="2089"/>
      <c r="J816" s="2091"/>
      <c r="K816" s="2092"/>
      <c r="L816" s="2093"/>
      <c r="M816" s="2094"/>
      <c r="N816" s="2094"/>
      <c r="O816" s="2094"/>
      <c r="P816" s="2094"/>
      <c r="Q816" s="2094"/>
      <c r="R816" s="2095"/>
      <c r="S816" s="2096"/>
      <c r="T816" s="244"/>
      <c r="U816" s="1124"/>
      <c r="V816" s="265">
        <f>SUM(V778:V815)</f>
        <v>3423</v>
      </c>
    </row>
    <row r="817" spans="1:27" s="573" customFormat="1">
      <c r="A817" s="1770"/>
      <c r="B817" s="567" t="str">
        <f>VLOOKUP(A829,'11 - FINANCEIRA'!_xlnm.Print_Area,1,FALSE)</f>
        <v>3.0</v>
      </c>
      <c r="C817" s="568" t="str">
        <f>VLOOKUP(LEFT(A829,11),'11 - FINANCEIRA'!_xlnm.Print_Area,2,FALSE)</f>
        <v>Galeria Ernesto Guimarães</v>
      </c>
      <c r="D817" s="568"/>
      <c r="E817" s="569"/>
      <c r="F817" s="568"/>
      <c r="G817" s="2671"/>
      <c r="H817" s="2671"/>
      <c r="I817" s="2671"/>
      <c r="J817" s="2671"/>
      <c r="K817" s="2671"/>
      <c r="L817" s="2671"/>
      <c r="M817" s="570"/>
      <c r="N817" s="571"/>
      <c r="O817" s="570"/>
      <c r="P817" s="570"/>
      <c r="Q817" s="570"/>
      <c r="R817" s="570"/>
      <c r="S817" s="570"/>
      <c r="T817" s="570"/>
      <c r="U817" s="572"/>
      <c r="V817" s="494" t="e">
        <f ca="1">SUM(V818:V1412)</f>
        <v>#REF!</v>
      </c>
    </row>
    <row r="818" spans="1:27" s="326" customFormat="1">
      <c r="A818" s="1770"/>
      <c r="B818" s="574" t="str">
        <f>VLOOKUP(A830,'11 - FINANCEIRA'!_xlnm.Print_Area,1,FALSE)</f>
        <v>3.1</v>
      </c>
      <c r="C818" s="575" t="str">
        <f>VLOOKUP(LEFT(A830,11),'11 - FINANCEIRA'!_xlnm.Print_Area,2,FALSE)</f>
        <v>Terraplanagem e Pavimentação</v>
      </c>
      <c r="D818" s="575"/>
      <c r="E818" s="576"/>
      <c r="F818" s="575"/>
      <c r="G818" s="577"/>
      <c r="H818" s="578"/>
      <c r="I818" s="578"/>
      <c r="J818" s="578"/>
      <c r="K818" s="578"/>
      <c r="L818" s="578"/>
      <c r="M818" s="2225"/>
      <c r="N818" s="2226"/>
      <c r="O818" s="2225"/>
      <c r="P818" s="2225"/>
      <c r="Q818" s="2225"/>
      <c r="R818" s="2225"/>
      <c r="S818" s="2225"/>
      <c r="T818" s="2225"/>
      <c r="U818" s="2227"/>
      <c r="V818" s="174">
        <f t="shared" ref="V818:V830" ca="1" si="102">V819</f>
        <v>128.56700000000001</v>
      </c>
    </row>
    <row r="819" spans="1:27" s="175" customFormat="1" hidden="1">
      <c r="A819" s="1106"/>
      <c r="B819" s="2609">
        <f>VLOOKUP(A831,'11 - FINANCEIRA'!_xlnm.Print_Area,2,FALSE)</f>
        <v>4805757</v>
      </c>
      <c r="C819" s="2670" t="str">
        <f>VLOOKUP(A831,'11 - FINANCEIRA'!_xlnm.Print_Area,3,FALSE)</f>
        <v>Escavação mecânica de vala em material de 1ª categoria</v>
      </c>
      <c r="D819" s="2611" t="s">
        <v>242</v>
      </c>
      <c r="E819" s="2612"/>
      <c r="F819" s="2612"/>
      <c r="G819" s="2612"/>
      <c r="H819" s="2612"/>
      <c r="I819" s="2613"/>
      <c r="J819" s="2604" t="s">
        <v>243</v>
      </c>
      <c r="K819" s="2604" t="s">
        <v>244</v>
      </c>
      <c r="L819" s="2604" t="s">
        <v>245</v>
      </c>
      <c r="M819" s="2604" t="s">
        <v>246</v>
      </c>
      <c r="N819" s="2604" t="s">
        <v>247</v>
      </c>
      <c r="O819" s="2604" t="s">
        <v>248</v>
      </c>
      <c r="P819" s="2107" t="s">
        <v>249</v>
      </c>
      <c r="Q819" s="2604" t="s">
        <v>250</v>
      </c>
      <c r="R819" s="2606" t="s">
        <v>139</v>
      </c>
      <c r="S819" s="2604" t="s">
        <v>251</v>
      </c>
      <c r="T819" s="2604" t="s">
        <v>252</v>
      </c>
      <c r="U819" s="2605" t="s">
        <v>253</v>
      </c>
      <c r="V819" s="174">
        <f t="shared" ca="1" si="102"/>
        <v>128.56700000000001</v>
      </c>
    </row>
    <row r="820" spans="1:27" s="175" customFormat="1" hidden="1">
      <c r="A820" s="1106"/>
      <c r="B820" s="2495" t="e">
        <f>LEFT(#REF!,5)</f>
        <v>#REF!</v>
      </c>
      <c r="C820" s="2493" t="e">
        <f>VLOOKUP(LEFT(#REF!,5),'11 - FINANCEIRA'!_xlnm.Print_Area,2,FALSE)</f>
        <v>#REF!</v>
      </c>
      <c r="D820" s="2588" t="s">
        <v>254</v>
      </c>
      <c r="E820" s="2589"/>
      <c r="F820" s="2590"/>
      <c r="G820" s="2591" t="s">
        <v>255</v>
      </c>
      <c r="H820" s="2592"/>
      <c r="I820" s="2593"/>
      <c r="J820" s="2497"/>
      <c r="K820" s="2497"/>
      <c r="L820" s="2497"/>
      <c r="M820" s="2497"/>
      <c r="N820" s="2497"/>
      <c r="O820" s="2497"/>
      <c r="P820" s="410" t="s">
        <v>256</v>
      </c>
      <c r="Q820" s="2497"/>
      <c r="R820" s="2578"/>
      <c r="S820" s="2497"/>
      <c r="T820" s="2497"/>
      <c r="U820" s="2587"/>
      <c r="V820" s="174">
        <f t="shared" ca="1" si="102"/>
        <v>128.56700000000001</v>
      </c>
    </row>
    <row r="821" spans="1:27" s="176" customFormat="1" hidden="1">
      <c r="A821" s="1110"/>
      <c r="B821" s="336"/>
      <c r="C821" s="266" t="s">
        <v>181</v>
      </c>
      <c r="D821" s="419">
        <v>0</v>
      </c>
      <c r="E821" s="420" t="s">
        <v>299</v>
      </c>
      <c r="F821" s="583">
        <v>14.04</v>
      </c>
      <c r="G821" s="422">
        <v>11</v>
      </c>
      <c r="H821" s="423" t="s">
        <v>299</v>
      </c>
      <c r="I821" s="424">
        <v>10</v>
      </c>
      <c r="J821" s="425"/>
      <c r="K821" s="556">
        <f>(G821-D821)*20+I821-F821</f>
        <v>215.96</v>
      </c>
      <c r="L821" s="425"/>
      <c r="M821" s="425"/>
      <c r="N821" s="425"/>
      <c r="O821" s="550">
        <f>3044.669+410.75</f>
        <v>3455.4189999999999</v>
      </c>
      <c r="P821" s="514"/>
      <c r="Q821" s="425"/>
      <c r="R821" s="515">
        <f>O821</f>
        <v>3455.4189999999999</v>
      </c>
      <c r="S821" s="425" t="s">
        <v>164</v>
      </c>
      <c r="T821" s="427">
        <v>8</v>
      </c>
      <c r="U821" s="490" t="s">
        <v>363</v>
      </c>
      <c r="V821" s="306">
        <f ca="1">V826</f>
        <v>128.56700000000001</v>
      </c>
      <c r="W821" s="175"/>
      <c r="X821" s="175"/>
      <c r="Y821" s="175"/>
      <c r="Z821" s="175"/>
      <c r="AA821" s="175"/>
    </row>
    <row r="822" spans="1:27" s="176" customFormat="1" hidden="1">
      <c r="A822" s="1110"/>
      <c r="B822" s="296"/>
      <c r="C822" s="339" t="s">
        <v>181</v>
      </c>
      <c r="D822" s="496">
        <v>6</v>
      </c>
      <c r="E822" s="584" t="s">
        <v>299</v>
      </c>
      <c r="F822" s="498">
        <v>0</v>
      </c>
      <c r="G822" s="533">
        <v>8</v>
      </c>
      <c r="H822" s="585" t="s">
        <v>299</v>
      </c>
      <c r="I822" s="545">
        <v>2</v>
      </c>
      <c r="J822" s="586"/>
      <c r="K822" s="434">
        <f>(G822-D822)*20+I822-F822</f>
        <v>42</v>
      </c>
      <c r="L822" s="434">
        <v>0.8</v>
      </c>
      <c r="M822" s="463">
        <v>1.2</v>
      </c>
      <c r="N822" s="464"/>
      <c r="O822" s="467">
        <f t="shared" ref="O822:O826" si="103">K822*L822*M822</f>
        <v>40.32</v>
      </c>
      <c r="P822" s="461"/>
      <c r="Q822" s="463"/>
      <c r="R822" s="462">
        <f>O822</f>
        <v>40.32</v>
      </c>
      <c r="S822" s="340" t="s">
        <v>164</v>
      </c>
      <c r="T822" s="347">
        <v>6</v>
      </c>
      <c r="U822" s="492" t="s">
        <v>364</v>
      </c>
      <c r="V822" s="306">
        <f ca="1">V826</f>
        <v>128.56700000000001</v>
      </c>
      <c r="W822" s="175"/>
      <c r="X822" s="175"/>
      <c r="Y822" s="175"/>
      <c r="Z822" s="175"/>
      <c r="AA822" s="175"/>
    </row>
    <row r="823" spans="1:27" s="175" customFormat="1" ht="30" hidden="1">
      <c r="A823" s="1110"/>
      <c r="B823" s="342"/>
      <c r="C823" s="339" t="s">
        <v>181</v>
      </c>
      <c r="D823" s="499"/>
      <c r="E823" s="497"/>
      <c r="F823" s="500"/>
      <c r="G823" s="499"/>
      <c r="H823" s="497"/>
      <c r="I823" s="500"/>
      <c r="J823" s="340"/>
      <c r="K823" s="828"/>
      <c r="L823" s="344"/>
      <c r="M823" s="344"/>
      <c r="N823" s="344"/>
      <c r="O823" s="467">
        <f t="shared" si="103"/>
        <v>0</v>
      </c>
      <c r="P823" s="344"/>
      <c r="Q823" s="345"/>
      <c r="R823" s="346"/>
      <c r="S823" s="345"/>
      <c r="T823" s="347">
        <v>12</v>
      </c>
      <c r="U823" s="435" t="s">
        <v>523</v>
      </c>
      <c r="V823" s="306">
        <f ca="1">V826</f>
        <v>128.56700000000001</v>
      </c>
    </row>
    <row r="824" spans="1:27" s="176" customFormat="1" hidden="1">
      <c r="A824" s="1110"/>
      <c r="B824" s="296"/>
      <c r="C824" s="339" t="s">
        <v>181</v>
      </c>
      <c r="D824" s="496">
        <v>25</v>
      </c>
      <c r="E824" s="584" t="s">
        <v>299</v>
      </c>
      <c r="F824" s="498">
        <v>16</v>
      </c>
      <c r="G824" s="533">
        <v>31</v>
      </c>
      <c r="H824" s="585" t="s">
        <v>299</v>
      </c>
      <c r="I824" s="545">
        <v>12</v>
      </c>
      <c r="J824" s="586"/>
      <c r="K824" s="434">
        <f>(G824-D824)*20+I824-F824</f>
        <v>116</v>
      </c>
      <c r="L824" s="434">
        <v>3.5</v>
      </c>
      <c r="M824" s="463">
        <v>3.1</v>
      </c>
      <c r="N824" s="464"/>
      <c r="O824" s="467">
        <f t="shared" si="103"/>
        <v>1258.6000000000001</v>
      </c>
      <c r="P824" s="461"/>
      <c r="Q824" s="463"/>
      <c r="R824" s="462">
        <f>O824</f>
        <v>1258.6000000000001</v>
      </c>
      <c r="S824" s="340" t="s">
        <v>164</v>
      </c>
      <c r="T824" s="347">
        <v>23</v>
      </c>
      <c r="U824" s="492"/>
      <c r="V824" s="306">
        <f>V830</f>
        <v>0</v>
      </c>
      <c r="W824" s="175"/>
      <c r="X824" s="175"/>
      <c r="Y824" s="175"/>
      <c r="Z824" s="175"/>
      <c r="AA824" s="175"/>
    </row>
    <row r="825" spans="1:27" s="176" customFormat="1" ht="30" hidden="1">
      <c r="A825" s="1110"/>
      <c r="B825" s="296"/>
      <c r="C825" s="339" t="s">
        <v>181</v>
      </c>
      <c r="D825" s="496">
        <v>25</v>
      </c>
      <c r="E825" s="584" t="s">
        <v>299</v>
      </c>
      <c r="F825" s="498">
        <v>16</v>
      </c>
      <c r="G825" s="533">
        <v>31</v>
      </c>
      <c r="H825" s="585" t="s">
        <v>299</v>
      </c>
      <c r="I825" s="545">
        <v>12</v>
      </c>
      <c r="J825" s="586"/>
      <c r="K825" s="434">
        <f>(G825-D825)*20+I825-F825</f>
        <v>116</v>
      </c>
      <c r="L825" s="434">
        <v>3.5</v>
      </c>
      <c r="M825" s="463">
        <v>0.35</v>
      </c>
      <c r="N825" s="464"/>
      <c r="O825" s="467">
        <f t="shared" si="103"/>
        <v>142.1</v>
      </c>
      <c r="P825" s="461"/>
      <c r="Q825" s="463"/>
      <c r="R825" s="462">
        <f>O825</f>
        <v>142.1</v>
      </c>
      <c r="S825" s="340" t="s">
        <v>164</v>
      </c>
      <c r="T825" s="347">
        <v>24</v>
      </c>
      <c r="U825" s="492" t="s">
        <v>979</v>
      </c>
      <c r="V825" s="306">
        <f>V831</f>
        <v>0</v>
      </c>
      <c r="W825" s="175"/>
      <c r="X825" s="175"/>
      <c r="Y825" s="175"/>
      <c r="Z825" s="175"/>
      <c r="AA825" s="175"/>
    </row>
    <row r="826" spans="1:27" s="176" customFormat="1" hidden="1">
      <c r="A826" s="1110"/>
      <c r="B826" s="296"/>
      <c r="C826" s="339" t="s">
        <v>181</v>
      </c>
      <c r="D826" s="496">
        <v>25</v>
      </c>
      <c r="E826" s="584" t="s">
        <v>299</v>
      </c>
      <c r="F826" s="498">
        <v>16</v>
      </c>
      <c r="G826" s="533"/>
      <c r="H826" s="585"/>
      <c r="I826" s="545"/>
      <c r="J826" s="586"/>
      <c r="K826" s="434">
        <v>2.0499999999999998</v>
      </c>
      <c r="L826" s="434">
        <v>2.0499999999999998</v>
      </c>
      <c r="M826" s="463">
        <v>3.1</v>
      </c>
      <c r="N826" s="464"/>
      <c r="O826" s="477">
        <f t="shared" si="103"/>
        <v>13.027749999999999</v>
      </c>
      <c r="P826" s="461"/>
      <c r="Q826" s="340"/>
      <c r="R826" s="462">
        <f>O826</f>
        <v>13.027749999999999</v>
      </c>
      <c r="S826" s="340" t="s">
        <v>164</v>
      </c>
      <c r="T826" s="347">
        <v>24</v>
      </c>
      <c r="U826" s="492" t="s">
        <v>993</v>
      </c>
      <c r="V826" s="306">
        <f ca="1">V832</f>
        <v>128.56700000000001</v>
      </c>
      <c r="W826" s="175"/>
      <c r="X826" s="175"/>
      <c r="Y826" s="175"/>
      <c r="Z826" s="175"/>
      <c r="AA826" s="175"/>
    </row>
    <row r="827" spans="1:27" s="176" customFormat="1" hidden="1">
      <c r="A827" s="1110"/>
      <c r="B827" s="296"/>
      <c r="C827" s="339" t="s">
        <v>181</v>
      </c>
      <c r="D827" s="623">
        <v>35</v>
      </c>
      <c r="E827" s="861" t="s">
        <v>299</v>
      </c>
      <c r="F827" s="625">
        <v>14</v>
      </c>
      <c r="G827" s="623">
        <v>39</v>
      </c>
      <c r="H827" s="861" t="s">
        <v>299</v>
      </c>
      <c r="I827" s="625">
        <v>16</v>
      </c>
      <c r="J827" s="586"/>
      <c r="K827" s="340">
        <f>(G827-D827)*20+I827-F827</f>
        <v>82</v>
      </c>
      <c r="L827" s="434">
        <v>3.5</v>
      </c>
      <c r="M827" s="463">
        <v>3.1</v>
      </c>
      <c r="N827" s="464"/>
      <c r="O827" s="477">
        <v>851.03</v>
      </c>
      <c r="P827" s="461"/>
      <c r="Q827" s="340"/>
      <c r="R827" s="462">
        <f>O827</f>
        <v>851.03</v>
      </c>
      <c r="S827" s="463" t="s">
        <v>144</v>
      </c>
      <c r="T827" s="347">
        <v>25</v>
      </c>
      <c r="U827" s="492" t="s">
        <v>996</v>
      </c>
      <c r="V827" s="306"/>
      <c r="W827" s="175"/>
      <c r="X827" s="175"/>
      <c r="Y827" s="175"/>
      <c r="Z827" s="175"/>
      <c r="AA827" s="175"/>
    </row>
    <row r="828" spans="1:27" s="176" customFormat="1" hidden="1">
      <c r="A828" s="1110"/>
      <c r="B828" s="1126"/>
      <c r="C828" s="985"/>
      <c r="D828" s="1377"/>
      <c r="E828" s="1574"/>
      <c r="F828" s="1715"/>
      <c r="G828" s="1575"/>
      <c r="H828" s="1574"/>
      <c r="I828" s="1378"/>
      <c r="J828" s="1724"/>
      <c r="K828" s="360"/>
      <c r="L828" s="1710"/>
      <c r="M828" s="360"/>
      <c r="N828" s="360"/>
      <c r="O828" s="1725"/>
      <c r="P828" s="1599"/>
      <c r="Q828" s="360"/>
      <c r="R828" s="1600"/>
      <c r="S828" s="360"/>
      <c r="T828" s="369"/>
      <c r="U828" s="1576"/>
      <c r="V828" s="306"/>
      <c r="W828" s="175"/>
      <c r="X828" s="175"/>
      <c r="Y828" s="175"/>
      <c r="Z828" s="175"/>
      <c r="AA828" s="175"/>
    </row>
    <row r="829" spans="1:27" s="40" customFormat="1" hidden="1">
      <c r="A829" s="1110" t="s">
        <v>65</v>
      </c>
      <c r="B829" s="645"/>
      <c r="C829" s="1614"/>
      <c r="D829" s="2548" t="s">
        <v>257</v>
      </c>
      <c r="E829" s="2549"/>
      <c r="F829" s="2549"/>
      <c r="G829" s="2549"/>
      <c r="H829" s="2549"/>
      <c r="I829" s="2550"/>
      <c r="J829" s="2490">
        <f>VLOOKUP(A831,'11 - FINANCEIRA'!$A$16:$AE$156,30,FALSE)</f>
        <v>5964.21</v>
      </c>
      <c r="K829" s="2491"/>
      <c r="L829" s="590" t="str">
        <f>VLOOKUP(A831,'11 - FINANCEIRA'!_xlnm.Print_Area,4,FALSE)</f>
        <v>m³</v>
      </c>
      <c r="M829" s="2561" t="s">
        <v>258</v>
      </c>
      <c r="N829" s="2562"/>
      <c r="O829" s="2562"/>
      <c r="P829" s="2562"/>
      <c r="Q829" s="2563"/>
      <c r="R829" s="375">
        <f>SUM(R821:R827)</f>
        <v>5760.4967500000002</v>
      </c>
      <c r="S829" s="591" t="str">
        <f>L829</f>
        <v>m³</v>
      </c>
      <c r="T829" s="390"/>
      <c r="U829" s="391"/>
      <c r="V829" s="306">
        <f t="shared" si="102"/>
        <v>0</v>
      </c>
    </row>
    <row r="830" spans="1:27" s="40" customFormat="1" hidden="1">
      <c r="A830" s="1106" t="s">
        <v>66</v>
      </c>
      <c r="B830" s="371"/>
      <c r="C830" s="374"/>
      <c r="D830" s="2505" t="s">
        <v>259</v>
      </c>
      <c r="E830" s="2506"/>
      <c r="F830" s="2506"/>
      <c r="G830" s="2506"/>
      <c r="H830" s="2506"/>
      <c r="I830" s="2507"/>
      <c r="J830" s="2511">
        <f>R829/J829</f>
        <v>0.9658440514334673</v>
      </c>
      <c r="K830" s="2512"/>
      <c r="L830" s="2559"/>
      <c r="M830" s="2561" t="s">
        <v>260</v>
      </c>
      <c r="N830" s="2562"/>
      <c r="O830" s="2562"/>
      <c r="P830" s="2562"/>
      <c r="Q830" s="2563"/>
      <c r="R830" s="375">
        <f>VLOOKUP(A831,'11 - FINANCEIRA'!_xlnm.Print_Area,8,FALSE)</f>
        <v>5760.4967500000002</v>
      </c>
      <c r="S830" s="376" t="str">
        <f>L829</f>
        <v>m³</v>
      </c>
      <c r="T830" s="372"/>
      <c r="U830" s="373"/>
      <c r="V830" s="174">
        <f t="shared" si="102"/>
        <v>0</v>
      </c>
    </row>
    <row r="831" spans="1:27" s="40" customFormat="1" hidden="1">
      <c r="A831" s="1106" t="s">
        <v>67</v>
      </c>
      <c r="B831" s="371"/>
      <c r="C831" s="377"/>
      <c r="D831" s="2596"/>
      <c r="E831" s="2509"/>
      <c r="F831" s="2509"/>
      <c r="G831" s="2509"/>
      <c r="H831" s="2509"/>
      <c r="I831" s="2597"/>
      <c r="J831" s="2568"/>
      <c r="K831" s="2569"/>
      <c r="L831" s="2564"/>
      <c r="M831" s="2565" t="s">
        <v>261</v>
      </c>
      <c r="N831" s="2566"/>
      <c r="O831" s="2566"/>
      <c r="P831" s="2566"/>
      <c r="Q831" s="2567"/>
      <c r="R831" s="251">
        <f>R829-R830</f>
        <v>0</v>
      </c>
      <c r="S831" s="379" t="str">
        <f>L829</f>
        <v>m³</v>
      </c>
      <c r="T831" s="372"/>
      <c r="U831" s="373"/>
      <c r="V831" s="174">
        <f>R831</f>
        <v>0</v>
      </c>
    </row>
    <row r="832" spans="1:27" s="40" customFormat="1" hidden="1">
      <c r="A832" s="1106"/>
      <c r="B832" s="394"/>
      <c r="C832" s="395"/>
      <c r="D832" s="396"/>
      <c r="E832" s="397"/>
      <c r="F832" s="396"/>
      <c r="G832" s="396"/>
      <c r="H832" s="396"/>
      <c r="I832" s="396"/>
      <c r="J832" s="398"/>
      <c r="K832" s="399"/>
      <c r="L832" s="400"/>
      <c r="M832" s="401"/>
      <c r="N832" s="401"/>
      <c r="O832" s="401"/>
      <c r="P832" s="401"/>
      <c r="Q832" s="401"/>
      <c r="R832" s="402"/>
      <c r="S832" s="403"/>
      <c r="T832" s="404"/>
      <c r="U832" s="405"/>
      <c r="V832" s="265">
        <f ca="1">SUM(V819:V831)</f>
        <v>1414.2370000000001</v>
      </c>
    </row>
    <row r="833" spans="1:27" s="176" customFormat="1" hidden="1">
      <c r="A833" s="1106"/>
      <c r="B833" s="2463">
        <f>VLOOKUP(A840,'11 - FINANCEIRA'!_xlnm.Print_Area,2,FALSE)</f>
        <v>5503041</v>
      </c>
      <c r="C833" s="2503" t="str">
        <f>VLOOKUP(A840,'11 - FINANCEIRA'!_xlnm.Print_Area,3,FALSE)</f>
        <v>Compactação de aterros a 100% do Proctor intermediário</v>
      </c>
      <c r="D833" s="2472" t="s">
        <v>242</v>
      </c>
      <c r="E833" s="2473"/>
      <c r="F833" s="2473"/>
      <c r="G833" s="2473"/>
      <c r="H833" s="2473"/>
      <c r="I833" s="2474"/>
      <c r="J833" s="2467" t="s">
        <v>243</v>
      </c>
      <c r="K833" s="2467" t="s">
        <v>244</v>
      </c>
      <c r="L833" s="2467" t="s">
        <v>245</v>
      </c>
      <c r="M833" s="2467" t="s">
        <v>246</v>
      </c>
      <c r="N833" s="2467" t="s">
        <v>247</v>
      </c>
      <c r="O833" s="2467" t="s">
        <v>248</v>
      </c>
      <c r="P833" s="173" t="s">
        <v>249</v>
      </c>
      <c r="Q833" s="2467" t="s">
        <v>250</v>
      </c>
      <c r="R833" s="2579" t="s">
        <v>139</v>
      </c>
      <c r="S833" s="2467" t="s">
        <v>251</v>
      </c>
      <c r="T833" s="2467" t="s">
        <v>252</v>
      </c>
      <c r="U833" s="2584" t="s">
        <v>253</v>
      </c>
      <c r="V833" s="174">
        <f t="shared" ref="V833:V839" si="104">V834</f>
        <v>0</v>
      </c>
      <c r="W833" s="175"/>
      <c r="X833" s="175"/>
      <c r="Y833" s="175"/>
      <c r="Z833" s="175"/>
      <c r="AA833" s="175"/>
    </row>
    <row r="834" spans="1:27" s="176" customFormat="1" hidden="1">
      <c r="A834" s="1106"/>
      <c r="B834" s="2464" t="e">
        <f>LEFT(#REF!,5)</f>
        <v>#REF!</v>
      </c>
      <c r="C834" s="2504" t="e">
        <f>VLOOKUP(LEFT(#REF!,5),'11 - FINANCEIRA'!_xlnm.Print_Area,2,FALSE)</f>
        <v>#REF!</v>
      </c>
      <c r="D834" s="2475" t="s">
        <v>254</v>
      </c>
      <c r="E834" s="2476"/>
      <c r="F834" s="2477"/>
      <c r="G834" s="2469" t="s">
        <v>255</v>
      </c>
      <c r="H834" s="2470"/>
      <c r="I834" s="2471"/>
      <c r="J834" s="2468"/>
      <c r="K834" s="2468"/>
      <c r="L834" s="2468"/>
      <c r="M834" s="2468"/>
      <c r="N834" s="2468"/>
      <c r="O834" s="2468"/>
      <c r="P834" s="177" t="s">
        <v>256</v>
      </c>
      <c r="Q834" s="2468"/>
      <c r="R834" s="2580"/>
      <c r="S834" s="2468"/>
      <c r="T834" s="2468"/>
      <c r="U834" s="2585"/>
      <c r="V834" s="174">
        <f t="shared" si="104"/>
        <v>0</v>
      </c>
      <c r="W834" s="175"/>
      <c r="X834" s="175"/>
      <c r="Y834" s="175"/>
      <c r="Z834" s="175"/>
      <c r="AA834" s="175"/>
    </row>
    <row r="835" spans="1:27" s="176" customFormat="1" hidden="1">
      <c r="A835" s="1110"/>
      <c r="B835" s="610"/>
      <c r="C835" s="547" t="s">
        <v>621</v>
      </c>
      <c r="D835" s="611">
        <v>9</v>
      </c>
      <c r="E835" s="612" t="s">
        <v>299</v>
      </c>
      <c r="F835" s="565">
        <v>0</v>
      </c>
      <c r="G835" s="611">
        <v>9</v>
      </c>
      <c r="H835" s="612" t="s">
        <v>299</v>
      </c>
      <c r="I835" s="565">
        <v>0</v>
      </c>
      <c r="J835" s="546"/>
      <c r="K835" s="546">
        <f>SUM(8.15+8.15)/2</f>
        <v>8.15</v>
      </c>
      <c r="L835" s="614">
        <f>SUM(11.6+10.85)/2</f>
        <v>11.225</v>
      </c>
      <c r="M835" s="357">
        <v>0.84</v>
      </c>
      <c r="N835" s="834"/>
      <c r="O835" s="546">
        <f>K835*L835*M835</f>
        <v>76.846350000000001</v>
      </c>
      <c r="P835" s="619"/>
      <c r="Q835" s="546"/>
      <c r="R835" s="616">
        <f>O835</f>
        <v>76.846350000000001</v>
      </c>
      <c r="S835" s="357" t="s">
        <v>151</v>
      </c>
      <c r="T835" s="355">
        <v>15</v>
      </c>
      <c r="U835" s="559" t="s">
        <v>622</v>
      </c>
      <c r="V835" s="306"/>
      <c r="W835" s="175"/>
      <c r="X835" s="175"/>
      <c r="Y835" s="175"/>
      <c r="Z835" s="175"/>
      <c r="AA835" s="175"/>
    </row>
    <row r="836" spans="1:27" s="176" customFormat="1" hidden="1">
      <c r="A836" s="1104"/>
      <c r="B836" s="195"/>
      <c r="C836" s="196"/>
      <c r="D836" s="197"/>
      <c r="E836" s="198"/>
      <c r="F836" s="199"/>
      <c r="G836" s="795"/>
      <c r="H836" s="200"/>
      <c r="I836" s="796"/>
      <c r="J836" s="201"/>
      <c r="K836" s="197"/>
      <c r="L836" s="201"/>
      <c r="M836" s="199"/>
      <c r="N836" s="198"/>
      <c r="O836" s="197"/>
      <c r="P836" s="202"/>
      <c r="Q836" s="199"/>
      <c r="R836" s="685"/>
      <c r="S836" s="201"/>
      <c r="T836" s="204"/>
      <c r="U836" s="205"/>
      <c r="V836" s="174" t="e">
        <f>#REF!</f>
        <v>#REF!</v>
      </c>
      <c r="W836" s="175"/>
      <c r="X836" s="175"/>
      <c r="Y836" s="175"/>
      <c r="Z836" s="175"/>
      <c r="AA836" s="175"/>
    </row>
    <row r="837" spans="1:27" s="222" customFormat="1" hidden="1">
      <c r="A837" s="1106"/>
      <c r="B837" s="223"/>
      <c r="C837" s="224"/>
      <c r="D837" s="225"/>
      <c r="E837" s="226"/>
      <c r="F837" s="227"/>
      <c r="G837" s="225"/>
      <c r="H837" s="226"/>
      <c r="I837" s="227"/>
      <c r="J837" s="228"/>
      <c r="K837" s="229"/>
      <c r="L837" s="230"/>
      <c r="M837" s="231"/>
      <c r="N837" s="232"/>
      <c r="O837" s="233"/>
      <c r="P837" s="230"/>
      <c r="Q837" s="234"/>
      <c r="R837" s="235"/>
      <c r="S837" s="236"/>
      <c r="T837" s="294"/>
      <c r="U837" s="238"/>
      <c r="V837" s="174">
        <f t="shared" si="104"/>
        <v>0</v>
      </c>
    </row>
    <row r="838" spans="1:27" s="40" customFormat="1" hidden="1">
      <c r="A838" s="1106"/>
      <c r="B838" s="246"/>
      <c r="C838" s="240"/>
      <c r="D838" s="2527" t="s">
        <v>257</v>
      </c>
      <c r="E838" s="2528"/>
      <c r="F838" s="2528"/>
      <c r="G838" s="2528"/>
      <c r="H838" s="2528"/>
      <c r="I838" s="2529"/>
      <c r="J838" s="2668">
        <f>VLOOKUP(A840,'11 - FINANCEIRA'!_xlnm.Print_Area,30,FALSE)</f>
        <v>2062.29</v>
      </c>
      <c r="K838" s="2669"/>
      <c r="L838" s="309" t="str">
        <f>VLOOKUP(A840,'11 - FINANCEIRA'!_xlnm.Print_Area,4,FALSE)</f>
        <v>m³</v>
      </c>
      <c r="M838" s="2556" t="s">
        <v>258</v>
      </c>
      <c r="N838" s="2557"/>
      <c r="O838" s="2557"/>
      <c r="P838" s="2557"/>
      <c r="Q838" s="2558"/>
      <c r="R838" s="248">
        <f>SUM(R835:R837)</f>
        <v>76.846350000000001</v>
      </c>
      <c r="S838" s="310" t="str">
        <f>L838</f>
        <v>m³</v>
      </c>
      <c r="T838" s="244"/>
      <c r="U838" s="245"/>
      <c r="V838" s="174">
        <f t="shared" si="104"/>
        <v>0</v>
      </c>
    </row>
    <row r="839" spans="1:27" s="40" customFormat="1" hidden="1">
      <c r="A839" s="1106"/>
      <c r="B839" s="246"/>
      <c r="C839" s="247"/>
      <c r="D839" s="2521" t="s">
        <v>259</v>
      </c>
      <c r="E839" s="2522"/>
      <c r="F839" s="2522"/>
      <c r="G839" s="2522"/>
      <c r="H839" s="2522"/>
      <c r="I839" s="2523"/>
      <c r="J839" s="2515">
        <f>R838/J838</f>
        <v>3.7262630376911104E-2</v>
      </c>
      <c r="K839" s="2516"/>
      <c r="L839" s="2554"/>
      <c r="M839" s="2556" t="s">
        <v>260</v>
      </c>
      <c r="N839" s="2557"/>
      <c r="O839" s="2557"/>
      <c r="P839" s="2557"/>
      <c r="Q839" s="2558"/>
      <c r="R839" s="248">
        <f>VLOOKUP(A840,'11 - FINANCEIRA'!_xlnm.Print_Area,8,FALSE)</f>
        <v>76.846350000000001</v>
      </c>
      <c r="S839" s="249" t="str">
        <f>L838</f>
        <v>m³</v>
      </c>
      <c r="T839" s="244"/>
      <c r="U839" s="245"/>
      <c r="V839" s="174">
        <f t="shared" si="104"/>
        <v>0</v>
      </c>
    </row>
    <row r="840" spans="1:27" s="40" customFormat="1" hidden="1">
      <c r="A840" s="1106" t="s">
        <v>68</v>
      </c>
      <c r="B840" s="246"/>
      <c r="C840" s="240"/>
      <c r="D840" s="2524"/>
      <c r="E840" s="2525"/>
      <c r="F840" s="2525"/>
      <c r="G840" s="2525"/>
      <c r="H840" s="2525"/>
      <c r="I840" s="2526"/>
      <c r="J840" s="2519"/>
      <c r="K840" s="2520"/>
      <c r="L840" s="2570"/>
      <c r="M840" s="2574" t="s">
        <v>261</v>
      </c>
      <c r="N840" s="2575"/>
      <c r="O840" s="2575"/>
      <c r="P840" s="2575"/>
      <c r="Q840" s="2576"/>
      <c r="R840" s="251">
        <f>R838-R839</f>
        <v>0</v>
      </c>
      <c r="S840" s="252" t="str">
        <f>L838</f>
        <v>m³</v>
      </c>
      <c r="T840" s="244"/>
      <c r="U840" s="245"/>
      <c r="V840" s="174">
        <f>R840</f>
        <v>0</v>
      </c>
    </row>
    <row r="841" spans="1:27" s="40" customFormat="1" hidden="1">
      <c r="A841" s="1106"/>
      <c r="B841" s="295"/>
      <c r="C841" s="254"/>
      <c r="D841" s="255"/>
      <c r="E841" s="256"/>
      <c r="F841" s="255"/>
      <c r="G841" s="255"/>
      <c r="H841" s="255"/>
      <c r="I841" s="255"/>
      <c r="J841" s="257"/>
      <c r="K841" s="258"/>
      <c r="L841" s="259"/>
      <c r="M841" s="260"/>
      <c r="N841" s="260"/>
      <c r="O841" s="260"/>
      <c r="P841" s="260"/>
      <c r="Q841" s="260"/>
      <c r="R841" s="261"/>
      <c r="S841" s="262"/>
      <c r="T841" s="263"/>
      <c r="U841" s="264"/>
      <c r="V841" s="265" t="e">
        <f>SUM(V833:V840)</f>
        <v>#REF!</v>
      </c>
    </row>
    <row r="842" spans="1:27" s="176" customFormat="1" ht="40.5" hidden="1" customHeight="1">
      <c r="A842" s="1106"/>
      <c r="B842" s="2494">
        <f>VLOOKUP(A859,'11 - FINANCEIRA'!_xlnm.Print_Area,2,FALSE)</f>
        <v>94340</v>
      </c>
      <c r="C842" s="2617" t="str">
        <f>VLOOKUP(A859,'11 - FINANCEIRA'!_xlnm.Print_Area,3,FALSE)</f>
        <v>Aterro Mecanizado e vala com retroescavadeira (capacidade da caçamba da retro:0,26m² (potência:88HP), largura até 0,8m profundidade de 1,5 a 3,0 m com areia para aterro</v>
      </c>
      <c r="D842" s="2581" t="s">
        <v>242</v>
      </c>
      <c r="E842" s="2582"/>
      <c r="F842" s="2582"/>
      <c r="G842" s="2582"/>
      <c r="H842" s="2582"/>
      <c r="I842" s="2583"/>
      <c r="J842" s="2496" t="s">
        <v>243</v>
      </c>
      <c r="K842" s="2496" t="s">
        <v>244</v>
      </c>
      <c r="L842" s="2496" t="s">
        <v>245</v>
      </c>
      <c r="M842" s="2496" t="s">
        <v>246</v>
      </c>
      <c r="N842" s="2496" t="s">
        <v>247</v>
      </c>
      <c r="O842" s="2496" t="s">
        <v>248</v>
      </c>
      <c r="P842" s="2496" t="s">
        <v>265</v>
      </c>
      <c r="Q842" s="2496" t="s">
        <v>250</v>
      </c>
      <c r="R842" s="2577" t="s">
        <v>139</v>
      </c>
      <c r="S842" s="2496" t="s">
        <v>251</v>
      </c>
      <c r="T842" s="2496" t="s">
        <v>252</v>
      </c>
      <c r="U842" s="2586" t="s">
        <v>253</v>
      </c>
      <c r="V842" s="174">
        <f>V843</f>
        <v>0</v>
      </c>
      <c r="W842" s="175"/>
      <c r="X842" s="175"/>
      <c r="Y842" s="175"/>
      <c r="Z842" s="175"/>
      <c r="AA842" s="175"/>
    </row>
    <row r="843" spans="1:27" s="176" customFormat="1" ht="27" hidden="1" customHeight="1">
      <c r="A843" s="1106"/>
      <c r="B843" s="2500"/>
      <c r="C843" s="2667"/>
      <c r="D843" s="2661" t="s">
        <v>254</v>
      </c>
      <c r="E843" s="2662"/>
      <c r="F843" s="2663"/>
      <c r="G843" s="2664" t="s">
        <v>255</v>
      </c>
      <c r="H843" s="2665"/>
      <c r="I843" s="2666"/>
      <c r="J843" s="2659"/>
      <c r="K843" s="2659"/>
      <c r="L843" s="2659"/>
      <c r="M843" s="2659"/>
      <c r="N843" s="2659"/>
      <c r="O843" s="2659"/>
      <c r="P843" s="2659"/>
      <c r="Q843" s="2659"/>
      <c r="R843" s="2658"/>
      <c r="S843" s="2659"/>
      <c r="T843" s="2659"/>
      <c r="U843" s="2660"/>
      <c r="V843" s="174">
        <f>V844</f>
        <v>0</v>
      </c>
      <c r="W843" s="175"/>
      <c r="X843" s="175"/>
      <c r="Y843" s="175"/>
      <c r="Z843" s="175"/>
      <c r="AA843" s="175"/>
    </row>
    <row r="844" spans="1:27" s="176" customFormat="1" hidden="1">
      <c r="A844" s="1110"/>
      <c r="B844" s="296"/>
      <c r="C844" s="339" t="s">
        <v>365</v>
      </c>
      <c r="D844" s="623">
        <v>0</v>
      </c>
      <c r="E844" s="624" t="s">
        <v>299</v>
      </c>
      <c r="F844" s="625">
        <v>14.04</v>
      </c>
      <c r="G844" s="455">
        <v>11</v>
      </c>
      <c r="H844" s="953" t="s">
        <v>299</v>
      </c>
      <c r="I844" s="457">
        <v>10</v>
      </c>
      <c r="J844" s="509"/>
      <c r="K844" s="558">
        <f t="shared" ref="K844:K849" si="105">(G844-D844)*20+I844-F844</f>
        <v>215.96</v>
      </c>
      <c r="L844" s="558">
        <v>0.8</v>
      </c>
      <c r="M844" s="558">
        <v>2.4</v>
      </c>
      <c r="N844" s="509"/>
      <c r="O844" s="900">
        <f>K844*L844*M844*2</f>
        <v>829.28640000000007</v>
      </c>
      <c r="P844" s="536"/>
      <c r="Q844" s="509"/>
      <c r="R844" s="643">
        <f>O844</f>
        <v>829.28640000000007</v>
      </c>
      <c r="S844" s="509" t="s">
        <v>164</v>
      </c>
      <c r="T844" s="539">
        <v>8</v>
      </c>
      <c r="U844" s="492" t="s">
        <v>363</v>
      </c>
      <c r="V844" s="306">
        <f>V851</f>
        <v>0</v>
      </c>
      <c r="W844" s="175"/>
      <c r="X844" s="175"/>
      <c r="Y844" s="175"/>
      <c r="Z844" s="175"/>
      <c r="AA844" s="175"/>
    </row>
    <row r="845" spans="1:27" s="176" customFormat="1" hidden="1">
      <c r="A845" s="1110"/>
      <c r="B845" s="296"/>
      <c r="C845" s="339" t="s">
        <v>366</v>
      </c>
      <c r="D845" s="496">
        <v>6</v>
      </c>
      <c r="E845" s="584" t="s">
        <v>299</v>
      </c>
      <c r="F845" s="498">
        <v>0</v>
      </c>
      <c r="G845" s="533">
        <v>8</v>
      </c>
      <c r="H845" s="585" t="s">
        <v>299</v>
      </c>
      <c r="I845" s="545">
        <v>2</v>
      </c>
      <c r="J845" s="586"/>
      <c r="K845" s="434">
        <f t="shared" si="105"/>
        <v>42</v>
      </c>
      <c r="L845" s="434">
        <v>0.8</v>
      </c>
      <c r="M845" s="498">
        <v>1.2</v>
      </c>
      <c r="N845" s="464"/>
      <c r="O845" s="467">
        <f>K845*L845*M845</f>
        <v>40.32</v>
      </c>
      <c r="P845" s="461"/>
      <c r="Q845" s="463"/>
      <c r="R845" s="462">
        <f>O845</f>
        <v>40.32</v>
      </c>
      <c r="S845" s="340" t="s">
        <v>164</v>
      </c>
      <c r="T845" s="347">
        <v>6</v>
      </c>
      <c r="U845" s="492" t="s">
        <v>364</v>
      </c>
      <c r="V845" s="306">
        <f>V851</f>
        <v>0</v>
      </c>
      <c r="W845" s="175"/>
      <c r="X845" s="175"/>
      <c r="Y845" s="175"/>
      <c r="Z845" s="175"/>
      <c r="AA845" s="175"/>
    </row>
    <row r="846" spans="1:27" s="765" customFormat="1" hidden="1">
      <c r="A846" s="1771"/>
      <c r="B846" s="296"/>
      <c r="C846" s="339" t="s">
        <v>365</v>
      </c>
      <c r="D846" s="623">
        <v>11</v>
      </c>
      <c r="E846" s="624" t="s">
        <v>299</v>
      </c>
      <c r="F846" s="625">
        <v>10</v>
      </c>
      <c r="G846" s="455">
        <v>14</v>
      </c>
      <c r="H846" s="953" t="s">
        <v>299</v>
      </c>
      <c r="I846" s="457">
        <v>14</v>
      </c>
      <c r="J846" s="509"/>
      <c r="K846" s="558">
        <f t="shared" si="105"/>
        <v>64</v>
      </c>
      <c r="L846" s="558">
        <f>0.5+0.5</f>
        <v>1</v>
      </c>
      <c r="M846" s="558">
        <v>2.4</v>
      </c>
      <c r="N846" s="509"/>
      <c r="O846" s="900">
        <f t="shared" ref="O846:O851" si="106">K846*L846*M846*2</f>
        <v>307.2</v>
      </c>
      <c r="P846" s="536"/>
      <c r="Q846" s="509"/>
      <c r="R846" s="643">
        <f>O846</f>
        <v>307.2</v>
      </c>
      <c r="S846" s="509" t="s">
        <v>164</v>
      </c>
      <c r="T846" s="539">
        <v>13</v>
      </c>
      <c r="U846" s="492"/>
      <c r="V846" s="713">
        <f t="shared" ref="V846:V856" si="107">V859</f>
        <v>0</v>
      </c>
      <c r="W846" s="688"/>
      <c r="X846" s="688"/>
      <c r="Y846" s="688"/>
      <c r="Z846" s="688"/>
      <c r="AA846" s="688"/>
    </row>
    <row r="847" spans="1:27" s="176" customFormat="1" hidden="1">
      <c r="A847" s="1110"/>
      <c r="B847" s="296"/>
      <c r="C847" s="339" t="s">
        <v>365</v>
      </c>
      <c r="D847" s="623">
        <v>14</v>
      </c>
      <c r="E847" s="624" t="s">
        <v>299</v>
      </c>
      <c r="F847" s="625">
        <v>14</v>
      </c>
      <c r="G847" s="455">
        <v>19</v>
      </c>
      <c r="H847" s="953" t="s">
        <v>299</v>
      </c>
      <c r="I847" s="457">
        <v>2</v>
      </c>
      <c r="J847" s="509"/>
      <c r="K847" s="558">
        <f t="shared" si="105"/>
        <v>88</v>
      </c>
      <c r="L847" s="558">
        <f>0.5+0.5</f>
        <v>1</v>
      </c>
      <c r="M847" s="558">
        <v>2.4</v>
      </c>
      <c r="N847" s="509"/>
      <c r="O847" s="900">
        <f t="shared" si="106"/>
        <v>422.4</v>
      </c>
      <c r="P847" s="536"/>
      <c r="Q847" s="509"/>
      <c r="R847" s="643">
        <f>O847</f>
        <v>422.4</v>
      </c>
      <c r="S847" s="509" t="s">
        <v>164</v>
      </c>
      <c r="T847" s="539">
        <v>14</v>
      </c>
      <c r="U847" s="492"/>
      <c r="V847" s="306" t="e">
        <f t="shared" ca="1" si="107"/>
        <v>#REF!</v>
      </c>
      <c r="W847" s="175"/>
      <c r="X847" s="175"/>
      <c r="Y847" s="175"/>
      <c r="Z847" s="175"/>
      <c r="AA847" s="175"/>
    </row>
    <row r="848" spans="1:27" s="176" customFormat="1" hidden="1">
      <c r="A848" s="1110"/>
      <c r="B848" s="296"/>
      <c r="C848" s="339" t="s">
        <v>365</v>
      </c>
      <c r="D848" s="623">
        <v>19</v>
      </c>
      <c r="E848" s="624" t="s">
        <v>299</v>
      </c>
      <c r="F848" s="625">
        <v>2</v>
      </c>
      <c r="G848" s="455">
        <v>21</v>
      </c>
      <c r="H848" s="953" t="s">
        <v>299</v>
      </c>
      <c r="I848" s="457">
        <v>9</v>
      </c>
      <c r="J848" s="509"/>
      <c r="K848" s="558">
        <f t="shared" si="105"/>
        <v>47</v>
      </c>
      <c r="L848" s="558">
        <f>0.5+0.5</f>
        <v>1</v>
      </c>
      <c r="M848" s="558">
        <v>2.4</v>
      </c>
      <c r="N848" s="509"/>
      <c r="O848" s="900">
        <f t="shared" si="106"/>
        <v>225.6</v>
      </c>
      <c r="P848" s="536"/>
      <c r="Q848" s="509"/>
      <c r="R848" s="643">
        <f>O848</f>
        <v>225.6</v>
      </c>
      <c r="S848" s="509" t="s">
        <v>164</v>
      </c>
      <c r="T848" s="539">
        <v>15</v>
      </c>
      <c r="U848" s="492"/>
      <c r="V848" s="306">
        <f t="shared" si="107"/>
        <v>0</v>
      </c>
      <c r="W848" s="175"/>
      <c r="X848" s="175"/>
      <c r="Y848" s="175"/>
      <c r="Z848" s="175"/>
      <c r="AA848" s="175"/>
    </row>
    <row r="849" spans="1:27" s="176" customFormat="1" hidden="1">
      <c r="A849" s="1110"/>
      <c r="B849" s="296"/>
      <c r="C849" s="339" t="s">
        <v>365</v>
      </c>
      <c r="D849" s="623">
        <f>G848</f>
        <v>21</v>
      </c>
      <c r="E849" s="624" t="s">
        <v>299</v>
      </c>
      <c r="F849" s="625">
        <f>I848</f>
        <v>9</v>
      </c>
      <c r="G849" s="455">
        <v>25</v>
      </c>
      <c r="H849" s="953" t="s">
        <v>299</v>
      </c>
      <c r="I849" s="457">
        <v>16</v>
      </c>
      <c r="J849" s="509"/>
      <c r="K849" s="558">
        <f t="shared" si="105"/>
        <v>87</v>
      </c>
      <c r="L849" s="558">
        <f>0.5+0.5</f>
        <v>1</v>
      </c>
      <c r="M849" s="558">
        <v>2.4</v>
      </c>
      <c r="N849" s="509"/>
      <c r="O849" s="900">
        <f t="shared" si="106"/>
        <v>417.59999999999997</v>
      </c>
      <c r="P849" s="536"/>
      <c r="Q849" s="509"/>
      <c r="R849" s="643">
        <v>253</v>
      </c>
      <c r="S849" s="509" t="s">
        <v>164</v>
      </c>
      <c r="T849" s="539">
        <v>16</v>
      </c>
      <c r="U849" s="492"/>
      <c r="V849" s="306">
        <f t="shared" si="107"/>
        <v>0</v>
      </c>
      <c r="W849" s="175"/>
      <c r="X849" s="175"/>
      <c r="Y849" s="175"/>
      <c r="Z849" s="175"/>
      <c r="AA849" s="175"/>
    </row>
    <row r="850" spans="1:27" s="176" customFormat="1" hidden="1">
      <c r="A850" s="1110"/>
      <c r="B850" s="296"/>
      <c r="C850" s="339" t="s">
        <v>365</v>
      </c>
      <c r="D850" s="496">
        <v>25</v>
      </c>
      <c r="E850" s="584" t="s">
        <v>299</v>
      </c>
      <c r="F850" s="498">
        <v>16</v>
      </c>
      <c r="G850" s="533">
        <v>31</v>
      </c>
      <c r="H850" s="585" t="s">
        <v>299</v>
      </c>
      <c r="I850" s="545">
        <v>12</v>
      </c>
      <c r="J850" s="509"/>
      <c r="K850" s="558">
        <f>(G850-D850)*20+I850-F850</f>
        <v>116</v>
      </c>
      <c r="L850" s="558">
        <v>0.5</v>
      </c>
      <c r="M850" s="558">
        <v>2.4</v>
      </c>
      <c r="N850" s="509"/>
      <c r="O850" s="900">
        <f t="shared" si="106"/>
        <v>278.39999999999998</v>
      </c>
      <c r="P850" s="536"/>
      <c r="Q850" s="509"/>
      <c r="R850" s="643">
        <f t="shared" ref="R850:R856" si="108">O850</f>
        <v>278.39999999999998</v>
      </c>
      <c r="S850" s="509" t="s">
        <v>164</v>
      </c>
      <c r="T850" s="539">
        <v>23</v>
      </c>
      <c r="U850" s="492"/>
      <c r="V850" s="306">
        <f t="shared" si="107"/>
        <v>0</v>
      </c>
      <c r="W850" s="175"/>
      <c r="X850" s="175"/>
      <c r="Y850" s="175"/>
      <c r="Z850" s="175"/>
      <c r="AA850" s="175"/>
    </row>
    <row r="851" spans="1:27" s="176" customFormat="1" hidden="1">
      <c r="A851" s="1110"/>
      <c r="B851" s="296"/>
      <c r="C851" s="339" t="s">
        <v>365</v>
      </c>
      <c r="D851" s="623">
        <v>25</v>
      </c>
      <c r="E851" s="624"/>
      <c r="F851" s="625"/>
      <c r="G851" s="455"/>
      <c r="H851" s="953"/>
      <c r="I851" s="457"/>
      <c r="J851" s="509"/>
      <c r="K851" s="558">
        <v>2.0499999999999998</v>
      </c>
      <c r="L851" s="558">
        <v>0.5</v>
      </c>
      <c r="M851" s="558">
        <v>2.4</v>
      </c>
      <c r="N851" s="509"/>
      <c r="O851" s="900">
        <f t="shared" si="106"/>
        <v>4.919999999999999</v>
      </c>
      <c r="P851" s="536"/>
      <c r="Q851" s="509"/>
      <c r="R851" s="643">
        <f t="shared" si="108"/>
        <v>4.919999999999999</v>
      </c>
      <c r="S851" s="509" t="s">
        <v>164</v>
      </c>
      <c r="T851" s="539">
        <v>24</v>
      </c>
      <c r="U851" s="492"/>
      <c r="V851" s="306">
        <f t="shared" si="107"/>
        <v>0</v>
      </c>
      <c r="W851" s="175"/>
      <c r="X851" s="175"/>
      <c r="Y851" s="175"/>
      <c r="Z851" s="175"/>
      <c r="AA851" s="175"/>
    </row>
    <row r="852" spans="1:27" s="176" customFormat="1" hidden="1">
      <c r="A852" s="1110"/>
      <c r="B852" s="296"/>
      <c r="C852" s="339" t="s">
        <v>365</v>
      </c>
      <c r="D852" s="496">
        <f>D827</f>
        <v>35</v>
      </c>
      <c r="E852" s="584" t="s">
        <v>299</v>
      </c>
      <c r="F852" s="498">
        <f>F827</f>
        <v>14</v>
      </c>
      <c r="G852" s="533">
        <f>G827</f>
        <v>39</v>
      </c>
      <c r="H852" s="585" t="s">
        <v>299</v>
      </c>
      <c r="I852" s="545">
        <f>I827</f>
        <v>16</v>
      </c>
      <c r="J852" s="509"/>
      <c r="K852" s="558">
        <f>(G852-D852)*20+I852-F852</f>
        <v>82</v>
      </c>
      <c r="L852" s="558">
        <v>0.5</v>
      </c>
      <c r="M852" s="558">
        <v>2.2999999999999998</v>
      </c>
      <c r="N852" s="509"/>
      <c r="O852" s="900">
        <f t="shared" ref="O852" si="109">K852*L852*M852*2</f>
        <v>188.6</v>
      </c>
      <c r="P852" s="536"/>
      <c r="Q852" s="509"/>
      <c r="R852" s="643">
        <f t="shared" si="108"/>
        <v>188.6</v>
      </c>
      <c r="S852" s="509" t="s">
        <v>164</v>
      </c>
      <c r="T852" s="539">
        <v>25</v>
      </c>
      <c r="U852" s="492"/>
      <c r="V852" s="306">
        <f t="shared" si="107"/>
        <v>0</v>
      </c>
      <c r="W852" s="175"/>
      <c r="X852" s="175"/>
      <c r="Y852" s="175"/>
      <c r="Z852" s="175"/>
      <c r="AA852" s="175"/>
    </row>
    <row r="853" spans="1:27" s="176" customFormat="1" hidden="1">
      <c r="A853" s="1110"/>
      <c r="B853" s="296"/>
      <c r="C853" s="339" t="s">
        <v>365</v>
      </c>
      <c r="D853" s="496">
        <f t="shared" ref="D853:I855" si="110">D316</f>
        <v>31</v>
      </c>
      <c r="E853" s="606" t="str">
        <f t="shared" si="110"/>
        <v>+</v>
      </c>
      <c r="F853" s="498">
        <f t="shared" si="110"/>
        <v>12</v>
      </c>
      <c r="G853" s="496">
        <f t="shared" si="110"/>
        <v>35</v>
      </c>
      <c r="H853" s="606" t="str">
        <f t="shared" si="110"/>
        <v>+</v>
      </c>
      <c r="I853" s="498">
        <f t="shared" si="110"/>
        <v>14</v>
      </c>
      <c r="J853" s="509"/>
      <c r="K853" s="558">
        <f>(G853-D853)*20+I853-F853</f>
        <v>82</v>
      </c>
      <c r="L853" s="558">
        <v>0.5</v>
      </c>
      <c r="M853" s="558">
        <v>2.2999999999999998</v>
      </c>
      <c r="N853" s="509"/>
      <c r="O853" s="900">
        <f t="shared" ref="O853:O854" si="111">K853*L853*M853*2</f>
        <v>188.6</v>
      </c>
      <c r="P853" s="536"/>
      <c r="Q853" s="509"/>
      <c r="R853" s="643">
        <f t="shared" si="108"/>
        <v>188.6</v>
      </c>
      <c r="S853" s="509" t="s">
        <v>164</v>
      </c>
      <c r="T853" s="539">
        <v>26</v>
      </c>
      <c r="U853" s="492"/>
      <c r="V853" s="306">
        <f t="shared" si="107"/>
        <v>0</v>
      </c>
      <c r="W853" s="175"/>
      <c r="X853" s="175"/>
      <c r="Y853" s="175"/>
      <c r="Z853" s="175"/>
      <c r="AA853" s="175"/>
    </row>
    <row r="854" spans="1:27" s="176" customFormat="1" hidden="1">
      <c r="A854" s="1110"/>
      <c r="B854" s="296"/>
      <c r="C854" s="339" t="s">
        <v>365</v>
      </c>
      <c r="D854" s="496">
        <f t="shared" si="110"/>
        <v>39</v>
      </c>
      <c r="E854" s="606" t="str">
        <f t="shared" si="110"/>
        <v>+</v>
      </c>
      <c r="F854" s="498">
        <f t="shared" si="110"/>
        <v>16</v>
      </c>
      <c r="G854" s="496">
        <f t="shared" si="110"/>
        <v>41</v>
      </c>
      <c r="H854" s="606" t="str">
        <f t="shared" si="110"/>
        <v>+</v>
      </c>
      <c r="I854" s="498">
        <f t="shared" si="110"/>
        <v>16</v>
      </c>
      <c r="J854" s="509"/>
      <c r="K854" s="558">
        <f>(G854-D854)*20+I854-F854</f>
        <v>40</v>
      </c>
      <c r="L854" s="558">
        <v>0.5</v>
      </c>
      <c r="M854" s="558">
        <v>2.2999999999999998</v>
      </c>
      <c r="N854" s="509"/>
      <c r="O854" s="900">
        <f t="shared" si="111"/>
        <v>92</v>
      </c>
      <c r="P854" s="536"/>
      <c r="Q854" s="509"/>
      <c r="R854" s="643">
        <f t="shared" si="108"/>
        <v>92</v>
      </c>
      <c r="S854" s="509" t="s">
        <v>164</v>
      </c>
      <c r="T854" s="539">
        <v>26</v>
      </c>
      <c r="U854" s="492"/>
      <c r="V854" s="306">
        <f t="shared" si="107"/>
        <v>0</v>
      </c>
      <c r="W854" s="175"/>
      <c r="X854" s="175"/>
      <c r="Y854" s="175"/>
      <c r="Z854" s="175"/>
      <c r="AA854" s="175"/>
    </row>
    <row r="855" spans="1:27" s="176" customFormat="1" hidden="1">
      <c r="A855" s="1110"/>
      <c r="B855" s="296"/>
      <c r="C855" s="339" t="s">
        <v>365</v>
      </c>
      <c r="D855" s="496">
        <f t="shared" si="110"/>
        <v>41</v>
      </c>
      <c r="E855" s="606" t="str">
        <f t="shared" si="110"/>
        <v>+</v>
      </c>
      <c r="F855" s="498">
        <f t="shared" si="110"/>
        <v>16</v>
      </c>
      <c r="G855" s="496">
        <f t="shared" si="110"/>
        <v>42</v>
      </c>
      <c r="H855" s="606" t="str">
        <f t="shared" si="110"/>
        <v>+</v>
      </c>
      <c r="I855" s="498">
        <f t="shared" si="110"/>
        <v>12</v>
      </c>
      <c r="J855" s="509"/>
      <c r="K855" s="558">
        <f>(G855-D855)*20+I855-F855</f>
        <v>16</v>
      </c>
      <c r="L855" s="558">
        <v>0.5</v>
      </c>
      <c r="M855" s="558">
        <v>2.2999999999999998</v>
      </c>
      <c r="N855" s="509"/>
      <c r="O855" s="900">
        <f t="shared" ref="O855" si="112">K855*L855*M855*2</f>
        <v>36.799999999999997</v>
      </c>
      <c r="P855" s="536"/>
      <c r="Q855" s="509"/>
      <c r="R855" s="643">
        <f t="shared" si="108"/>
        <v>36.799999999999997</v>
      </c>
      <c r="S855" s="509" t="s">
        <v>164</v>
      </c>
      <c r="T855" s="539">
        <v>27</v>
      </c>
      <c r="U855" s="492"/>
      <c r="V855" s="306">
        <f t="shared" si="107"/>
        <v>0</v>
      </c>
      <c r="W855" s="175"/>
      <c r="X855" s="175"/>
      <c r="Y855" s="175"/>
      <c r="Z855" s="175"/>
      <c r="AA855" s="175"/>
    </row>
    <row r="856" spans="1:27" s="176" customFormat="1" hidden="1">
      <c r="A856" s="1110"/>
      <c r="B856" s="610"/>
      <c r="C856" s="547" t="s">
        <v>1155</v>
      </c>
      <c r="D856" s="611">
        <f>D319</f>
        <v>31</v>
      </c>
      <c r="E856" s="612" t="str">
        <f>E319</f>
        <v>+</v>
      </c>
      <c r="F856" s="565">
        <f>F319</f>
        <v>12</v>
      </c>
      <c r="G856" s="611">
        <v>40</v>
      </c>
      <c r="H856" s="612" t="str">
        <f>H319</f>
        <v>+</v>
      </c>
      <c r="I856" s="565">
        <v>0</v>
      </c>
      <c r="J856" s="1160"/>
      <c r="K856" s="614">
        <f>(G856-D856)*20+I856-F856</f>
        <v>168</v>
      </c>
      <c r="L856" s="614">
        <v>0.6</v>
      </c>
      <c r="M856" s="614">
        <v>0.3</v>
      </c>
      <c r="N856" s="1160"/>
      <c r="O856" s="1161">
        <f t="shared" ref="O856" si="113">K856*L856*M856*2</f>
        <v>60.48</v>
      </c>
      <c r="P856" s="1188"/>
      <c r="Q856" s="1160"/>
      <c r="R856" s="630">
        <f t="shared" si="108"/>
        <v>60.48</v>
      </c>
      <c r="S856" s="1160" t="s">
        <v>164</v>
      </c>
      <c r="T856" s="632">
        <v>27</v>
      </c>
      <c r="U856" s="633"/>
      <c r="V856" s="306">
        <f t="shared" si="107"/>
        <v>0</v>
      </c>
      <c r="W856" s="175"/>
      <c r="X856" s="175"/>
      <c r="Y856" s="175"/>
      <c r="Z856" s="175"/>
      <c r="AA856" s="175"/>
    </row>
    <row r="857" spans="1:27" s="40" customFormat="1" hidden="1">
      <c r="A857" s="1110"/>
      <c r="B857" s="645"/>
      <c r="C857" s="1614"/>
      <c r="D857" s="2548" t="s">
        <v>257</v>
      </c>
      <c r="E857" s="2549"/>
      <c r="F857" s="2549"/>
      <c r="G857" s="2549"/>
      <c r="H857" s="2549"/>
      <c r="I857" s="2550"/>
      <c r="J857" s="2490">
        <f>VLOOKUP(A859,'11 - FINANCEIRA'!$A$16:$AE$156,30,FALSE)</f>
        <v>2941.81</v>
      </c>
      <c r="K857" s="2491"/>
      <c r="L857" s="590" t="str">
        <f>VLOOKUP(A859,'11 - FINANCEIRA'!_xlnm.Print_Area,4,FALSE)</f>
        <v>m³</v>
      </c>
      <c r="M857" s="2561" t="s">
        <v>258</v>
      </c>
      <c r="N857" s="2562"/>
      <c r="O857" s="2562"/>
      <c r="P857" s="2562"/>
      <c r="Q857" s="2563"/>
      <c r="R857" s="375">
        <f>SUM(R844:R856)</f>
        <v>2927.6064000000001</v>
      </c>
      <c r="S857" s="591" t="str">
        <f>L857</f>
        <v>m³</v>
      </c>
      <c r="T857" s="390"/>
      <c r="U857" s="391"/>
      <c r="V857" s="306">
        <f>V858</f>
        <v>0</v>
      </c>
    </row>
    <row r="858" spans="1:27" s="40" customFormat="1" hidden="1">
      <c r="A858" s="1106"/>
      <c r="B858" s="371"/>
      <c r="C858" s="374"/>
      <c r="D858" s="2505" t="s">
        <v>259</v>
      </c>
      <c r="E858" s="2506"/>
      <c r="F858" s="2506"/>
      <c r="G858" s="2506"/>
      <c r="H858" s="2506"/>
      <c r="I858" s="2507"/>
      <c r="J858" s="2511">
        <f>R857/J857</f>
        <v>0.9951718159908356</v>
      </c>
      <c r="K858" s="2512"/>
      <c r="L858" s="2559"/>
      <c r="M858" s="2561" t="s">
        <v>260</v>
      </c>
      <c r="N858" s="2562"/>
      <c r="O858" s="2562"/>
      <c r="P858" s="2562"/>
      <c r="Q858" s="2563"/>
      <c r="R858" s="375">
        <f>VLOOKUP(A859,'11 - FINANCEIRA'!_xlnm.Print_Area,8,FALSE)</f>
        <v>2927.6064000000001</v>
      </c>
      <c r="S858" s="376" t="str">
        <f>L857</f>
        <v>m³</v>
      </c>
      <c r="T858" s="372"/>
      <c r="U858" s="373"/>
      <c r="V858" s="174">
        <f>V859</f>
        <v>0</v>
      </c>
    </row>
    <row r="859" spans="1:27" s="40" customFormat="1" hidden="1">
      <c r="A859" s="1106" t="s">
        <v>69</v>
      </c>
      <c r="B859" s="371"/>
      <c r="C859" s="377"/>
      <c r="D859" s="2596"/>
      <c r="E859" s="2509"/>
      <c r="F859" s="2509"/>
      <c r="G859" s="2509"/>
      <c r="H859" s="2509"/>
      <c r="I859" s="2597"/>
      <c r="J859" s="2568"/>
      <c r="K859" s="2569"/>
      <c r="L859" s="2564"/>
      <c r="M859" s="2565" t="s">
        <v>261</v>
      </c>
      <c r="N859" s="2566"/>
      <c r="O859" s="2566"/>
      <c r="P859" s="2566"/>
      <c r="Q859" s="2567"/>
      <c r="R859" s="378">
        <f>R857-R858</f>
        <v>0</v>
      </c>
      <c r="S859" s="379" t="str">
        <f>L857</f>
        <v>m³</v>
      </c>
      <c r="T859" s="372"/>
      <c r="U859" s="373"/>
      <c r="V859" s="174">
        <f>R859</f>
        <v>0</v>
      </c>
    </row>
    <row r="860" spans="1:27" s="40" customFormat="1" hidden="1">
      <c r="A860" s="1106"/>
      <c r="B860" s="394"/>
      <c r="C860" s="395"/>
      <c r="D860" s="396"/>
      <c r="E860" s="397"/>
      <c r="F860" s="396"/>
      <c r="G860" s="396"/>
      <c r="H860" s="396"/>
      <c r="I860" s="396"/>
      <c r="J860" s="398"/>
      <c r="K860" s="399"/>
      <c r="L860" s="400"/>
      <c r="M860" s="401"/>
      <c r="N860" s="401"/>
      <c r="O860" s="401"/>
      <c r="P860" s="401"/>
      <c r="Q860" s="401"/>
      <c r="R860" s="402"/>
      <c r="S860" s="403"/>
      <c r="T860" s="404"/>
      <c r="U860" s="405"/>
      <c r="V860" s="265" t="e">
        <f ca="1">SUM(V842:V859)</f>
        <v>#REF!</v>
      </c>
    </row>
    <row r="861" spans="1:27" s="176" customFormat="1" hidden="1">
      <c r="A861" s="1106"/>
      <c r="B861" s="2463">
        <f>VLOOKUP(A869,'11 - FINANCEIRA'!_xlnm.Print_Area,2,FALSE)</f>
        <v>42045</v>
      </c>
      <c r="C861" s="2465" t="str">
        <f>VLOOKUP(A869,'11 - FINANCEIRA'!_xlnm.Print_Area,3,FALSE)</f>
        <v>Aquisição de solo de jazida comercial (saibreira) - BDI = 14,02</v>
      </c>
      <c r="D861" s="2472" t="s">
        <v>242</v>
      </c>
      <c r="E861" s="2473"/>
      <c r="F861" s="2473"/>
      <c r="G861" s="2473"/>
      <c r="H861" s="2473"/>
      <c r="I861" s="2474"/>
      <c r="J861" s="2467" t="s">
        <v>243</v>
      </c>
      <c r="K861" s="2467" t="s">
        <v>244</v>
      </c>
      <c r="L861" s="2467" t="s">
        <v>245</v>
      </c>
      <c r="M861" s="2467" t="s">
        <v>246</v>
      </c>
      <c r="N861" s="2467" t="s">
        <v>247</v>
      </c>
      <c r="O861" s="2467" t="s">
        <v>248</v>
      </c>
      <c r="P861" s="173" t="s">
        <v>249</v>
      </c>
      <c r="Q861" s="2467" t="s">
        <v>250</v>
      </c>
      <c r="R861" s="2579" t="s">
        <v>139</v>
      </c>
      <c r="S861" s="2467" t="s">
        <v>251</v>
      </c>
      <c r="T861" s="2467" t="s">
        <v>252</v>
      </c>
      <c r="U861" s="2584" t="s">
        <v>253</v>
      </c>
      <c r="V861" s="174">
        <f t="shared" ref="V861:V868" si="114">V862</f>
        <v>0</v>
      </c>
      <c r="W861" s="175"/>
      <c r="X861" s="175"/>
      <c r="Y861" s="175"/>
      <c r="Z861" s="175"/>
      <c r="AA861" s="175"/>
    </row>
    <row r="862" spans="1:27" s="176" customFormat="1" hidden="1">
      <c r="A862" s="1106"/>
      <c r="B862" s="2464" t="e">
        <f>LEFT(#REF!,5)</f>
        <v>#REF!</v>
      </c>
      <c r="C862" s="2466" t="e">
        <f>VLOOKUP(LEFT(#REF!,5),'11 - FINANCEIRA'!_xlnm.Print_Area,2,FALSE)</f>
        <v>#REF!</v>
      </c>
      <c r="D862" s="2475" t="s">
        <v>254</v>
      </c>
      <c r="E862" s="2476"/>
      <c r="F862" s="2477"/>
      <c r="G862" s="2469" t="s">
        <v>255</v>
      </c>
      <c r="H862" s="2470"/>
      <c r="I862" s="2471"/>
      <c r="J862" s="2468"/>
      <c r="K862" s="2468"/>
      <c r="L862" s="2468"/>
      <c r="M862" s="2468"/>
      <c r="N862" s="2468"/>
      <c r="O862" s="2468"/>
      <c r="P862" s="177" t="s">
        <v>256</v>
      </c>
      <c r="Q862" s="2468"/>
      <c r="R862" s="2580"/>
      <c r="S862" s="2468"/>
      <c r="T862" s="2468"/>
      <c r="U862" s="2585"/>
      <c r="V862" s="174">
        <f t="shared" si="114"/>
        <v>0</v>
      </c>
      <c r="W862" s="175"/>
      <c r="X862" s="175"/>
      <c r="Y862" s="175"/>
      <c r="Z862" s="175"/>
      <c r="AA862" s="175"/>
    </row>
    <row r="863" spans="1:27" s="765" customFormat="1" hidden="1">
      <c r="A863" s="1771"/>
      <c r="B863" s="296"/>
      <c r="C863" s="339" t="s">
        <v>621</v>
      </c>
      <c r="D863" s="496">
        <v>9</v>
      </c>
      <c r="E863" s="606" t="s">
        <v>299</v>
      </c>
      <c r="F863" s="498">
        <v>0</v>
      </c>
      <c r="G863" s="496">
        <v>9</v>
      </c>
      <c r="H863" s="606" t="s">
        <v>299</v>
      </c>
      <c r="I863" s="498">
        <v>0</v>
      </c>
      <c r="J863" s="546"/>
      <c r="K863" s="546">
        <f>SUM(8.15+8.15)/2</f>
        <v>8.15</v>
      </c>
      <c r="L863" s="614">
        <f>SUM(11.6+10.85)/2</f>
        <v>11.225</v>
      </c>
      <c r="M863" s="357">
        <v>0.84</v>
      </c>
      <c r="N863" s="834"/>
      <c r="O863" s="546">
        <f>K863*L863*M863</f>
        <v>76.846350000000001</v>
      </c>
      <c r="P863" s="619"/>
      <c r="Q863" s="546"/>
      <c r="R863" s="616">
        <f>O863</f>
        <v>76.846350000000001</v>
      </c>
      <c r="S863" s="357" t="s">
        <v>151</v>
      </c>
      <c r="T863" s="355">
        <v>15</v>
      </c>
      <c r="U863" s="559" t="s">
        <v>622</v>
      </c>
      <c r="V863" s="713"/>
      <c r="W863" s="688"/>
      <c r="X863" s="688"/>
      <c r="Y863" s="688"/>
      <c r="Z863" s="688"/>
      <c r="AA863" s="688"/>
    </row>
    <row r="864" spans="1:27" s="176" customFormat="1" hidden="1">
      <c r="A864" s="1110"/>
      <c r="B864" s="296"/>
      <c r="C864" s="179" t="s">
        <v>935</v>
      </c>
      <c r="D864" s="623">
        <v>25</v>
      </c>
      <c r="E864" s="624" t="s">
        <v>299</v>
      </c>
      <c r="F864" s="625">
        <v>16</v>
      </c>
      <c r="G864" s="455">
        <v>31</v>
      </c>
      <c r="H864" s="953" t="s">
        <v>299</v>
      </c>
      <c r="I864" s="457">
        <v>12</v>
      </c>
      <c r="J864" s="340"/>
      <c r="K864" s="558">
        <f>(G864-D864)*20+I864-F864</f>
        <v>116</v>
      </c>
      <c r="L864" s="344">
        <v>5</v>
      </c>
      <c r="M864" s="344">
        <v>0.2</v>
      </c>
      <c r="N864" s="344"/>
      <c r="O864" s="345">
        <f>K864*L864*M864</f>
        <v>116</v>
      </c>
      <c r="P864" s="344"/>
      <c r="Q864" s="345"/>
      <c r="R864" s="346">
        <f>O864</f>
        <v>116</v>
      </c>
      <c r="S864" s="406" t="s">
        <v>164</v>
      </c>
      <c r="T864" s="347">
        <v>23</v>
      </c>
      <c r="U864" s="435" t="s">
        <v>923</v>
      </c>
      <c r="V864" s="306">
        <f t="shared" si="114"/>
        <v>0</v>
      </c>
      <c r="W864" s="175"/>
      <c r="X864" s="175"/>
      <c r="Y864" s="175"/>
      <c r="Z864" s="175"/>
      <c r="AA864" s="175"/>
    </row>
    <row r="865" spans="1:27" s="765" customFormat="1" hidden="1">
      <c r="A865" s="1111"/>
      <c r="B865" s="767"/>
      <c r="C865" s="1209"/>
      <c r="D865" s="770"/>
      <c r="E865" s="1210"/>
      <c r="F865" s="771"/>
      <c r="G865" s="887"/>
      <c r="H865" s="894"/>
      <c r="I865" s="889"/>
      <c r="J865" s="438"/>
      <c r="K865" s="553"/>
      <c r="L865" s="440"/>
      <c r="M865" s="440"/>
      <c r="N865" s="440"/>
      <c r="O865" s="984"/>
      <c r="P865" s="440"/>
      <c r="Q865" s="984"/>
      <c r="R865" s="757"/>
      <c r="S865" s="758"/>
      <c r="T865" s="441"/>
      <c r="U865" s="759"/>
      <c r="V865" s="713"/>
      <c r="W865" s="688"/>
      <c r="X865" s="688"/>
      <c r="Y865" s="688"/>
      <c r="Z865" s="688"/>
      <c r="AA865" s="688"/>
    </row>
    <row r="866" spans="1:27" s="222" customFormat="1" hidden="1">
      <c r="A866" s="1106"/>
      <c r="B866" s="358"/>
      <c r="C866" s="359"/>
      <c r="D866" s="587"/>
      <c r="E866" s="588"/>
      <c r="F866" s="589"/>
      <c r="G866" s="587"/>
      <c r="H866" s="588"/>
      <c r="I866" s="589"/>
      <c r="J866" s="360"/>
      <c r="K866" s="361"/>
      <c r="L866" s="362"/>
      <c r="M866" s="363"/>
      <c r="N866" s="364"/>
      <c r="O866" s="365"/>
      <c r="P866" s="362"/>
      <c r="Q866" s="366"/>
      <c r="R866" s="367"/>
      <c r="S866" s="368"/>
      <c r="T866" s="369"/>
      <c r="U866" s="370"/>
      <c r="V866" s="174">
        <f t="shared" si="114"/>
        <v>0</v>
      </c>
    </row>
    <row r="867" spans="1:27" s="40" customFormat="1" hidden="1">
      <c r="A867" s="1106"/>
      <c r="B867" s="246"/>
      <c r="C867" s="240"/>
      <c r="D867" s="2527" t="s">
        <v>257</v>
      </c>
      <c r="E867" s="2528"/>
      <c r="F867" s="2528"/>
      <c r="G867" s="2528"/>
      <c r="H867" s="2528"/>
      <c r="I867" s="2529"/>
      <c r="J867" s="2488">
        <f>'11 - FINANCEIRA'!F77</f>
        <v>2062.29</v>
      </c>
      <c r="K867" s="2489"/>
      <c r="L867" s="309" t="str">
        <f>VLOOKUP(A869,'11 - FINANCEIRA'!_xlnm.Print_Area,4,FALSE)</f>
        <v>m³</v>
      </c>
      <c r="M867" s="2556" t="s">
        <v>258</v>
      </c>
      <c r="N867" s="2557"/>
      <c r="O867" s="2557"/>
      <c r="P867" s="2557"/>
      <c r="Q867" s="2558"/>
      <c r="R867" s="248">
        <f>SUM(R863:R866)</f>
        <v>192.84635</v>
      </c>
      <c r="S867" s="310" t="str">
        <f>L867</f>
        <v>m³</v>
      </c>
      <c r="T867" s="244"/>
      <c r="U867" s="245"/>
      <c r="V867" s="174">
        <f t="shared" si="114"/>
        <v>0</v>
      </c>
    </row>
    <row r="868" spans="1:27" s="40" customFormat="1" hidden="1">
      <c r="A868" s="1106"/>
      <c r="B868" s="246"/>
      <c r="C868" s="247"/>
      <c r="D868" s="2521" t="s">
        <v>259</v>
      </c>
      <c r="E868" s="2522"/>
      <c r="F868" s="2522"/>
      <c r="G868" s="2522"/>
      <c r="H868" s="2522"/>
      <c r="I868" s="2523"/>
      <c r="J868" s="2515">
        <f>R867/J867</f>
        <v>9.3510781703834089E-2</v>
      </c>
      <c r="K868" s="2516"/>
      <c r="L868" s="2554"/>
      <c r="M868" s="2556" t="s">
        <v>260</v>
      </c>
      <c r="N868" s="2557"/>
      <c r="O868" s="2557"/>
      <c r="P868" s="2557"/>
      <c r="Q868" s="2558"/>
      <c r="R868" s="248">
        <f>VLOOKUP(A869,'11 - FINANCEIRA'!_xlnm.Print_Area,8,FALSE)</f>
        <v>192.84635</v>
      </c>
      <c r="S868" s="249" t="str">
        <f>L867</f>
        <v>m³</v>
      </c>
      <c r="T868" s="244"/>
      <c r="U868" s="245"/>
      <c r="V868" s="174">
        <f t="shared" si="114"/>
        <v>0</v>
      </c>
    </row>
    <row r="869" spans="1:27" s="40" customFormat="1" hidden="1">
      <c r="A869" s="1106" t="s">
        <v>70</v>
      </c>
      <c r="B869" s="246"/>
      <c r="C869" s="240"/>
      <c r="D869" s="2524"/>
      <c r="E869" s="2525"/>
      <c r="F869" s="2525"/>
      <c r="G869" s="2525"/>
      <c r="H869" s="2525"/>
      <c r="I869" s="2526"/>
      <c r="J869" s="2519"/>
      <c r="K869" s="2520"/>
      <c r="L869" s="2570"/>
      <c r="M869" s="2574" t="s">
        <v>261</v>
      </c>
      <c r="N869" s="2575"/>
      <c r="O869" s="2575"/>
      <c r="P869" s="2575"/>
      <c r="Q869" s="2576"/>
      <c r="R869" s="251">
        <f>R867-R868</f>
        <v>0</v>
      </c>
      <c r="S869" s="252" t="str">
        <f>L867</f>
        <v>m³</v>
      </c>
      <c r="T869" s="244"/>
      <c r="U869" s="245"/>
      <c r="V869" s="174">
        <f>R869</f>
        <v>0</v>
      </c>
    </row>
    <row r="870" spans="1:27" s="40" customFormat="1" hidden="1">
      <c r="A870" s="1106"/>
      <c r="B870" s="311"/>
      <c r="C870" s="312"/>
      <c r="D870" s="313"/>
      <c r="E870" s="314"/>
      <c r="F870" s="313"/>
      <c r="G870" s="313"/>
      <c r="H870" s="313"/>
      <c r="I870" s="313"/>
      <c r="J870" s="315"/>
      <c r="K870" s="316"/>
      <c r="L870" s="317"/>
      <c r="M870" s="318"/>
      <c r="N870" s="318"/>
      <c r="O870" s="318"/>
      <c r="P870" s="318"/>
      <c r="Q870" s="318"/>
      <c r="R870" s="319"/>
      <c r="S870" s="320"/>
      <c r="T870" s="321"/>
      <c r="U870" s="322"/>
      <c r="V870" s="265">
        <f>SUM(V861:V869)</f>
        <v>0</v>
      </c>
    </row>
    <row r="871" spans="1:27" s="176" customFormat="1">
      <c r="A871" s="1106"/>
      <c r="B871" s="2494">
        <f>VLOOKUP(A892,'11 - FINANCEIRA'!_xlnm.Print_Area,2,FALSE)</f>
        <v>5914336</v>
      </c>
      <c r="C871" s="2492" t="str">
        <f>VLOOKUP(A892,'11 - FINANCEIRA'!_xlnm.Print_Area,3,FALSE)</f>
        <v xml:space="preserve">Transporte com caminhão basculante de 12m³ - rodovia pavimentada </v>
      </c>
      <c r="D871" s="2655" t="s">
        <v>242</v>
      </c>
      <c r="E871" s="2656"/>
      <c r="F871" s="2656"/>
      <c r="G871" s="2656"/>
      <c r="H871" s="2656"/>
      <c r="I871" s="2657"/>
      <c r="J871" s="2598" t="s">
        <v>243</v>
      </c>
      <c r="K871" s="2598" t="s">
        <v>244</v>
      </c>
      <c r="L871" s="2598" t="s">
        <v>245</v>
      </c>
      <c r="M871" s="2598" t="s">
        <v>246</v>
      </c>
      <c r="N871" s="2598" t="s">
        <v>247</v>
      </c>
      <c r="O871" s="2598" t="s">
        <v>248</v>
      </c>
      <c r="P871" s="2598" t="s">
        <v>348</v>
      </c>
      <c r="Q871" s="2598" t="s">
        <v>305</v>
      </c>
      <c r="R871" s="2577" t="s">
        <v>139</v>
      </c>
      <c r="S871" s="2496" t="s">
        <v>251</v>
      </c>
      <c r="T871" s="2496" t="s">
        <v>252</v>
      </c>
      <c r="U871" s="2586" t="s">
        <v>253</v>
      </c>
      <c r="V871" s="174" t="e">
        <f t="shared" ref="V871:V891" si="115">V872</f>
        <v>#REF!</v>
      </c>
      <c r="W871" s="175"/>
      <c r="X871" s="175"/>
      <c r="Y871" s="175"/>
      <c r="Z871" s="175"/>
      <c r="AA871" s="175"/>
    </row>
    <row r="872" spans="1:27" s="176" customFormat="1">
      <c r="A872" s="1106"/>
      <c r="B872" s="2495" t="e">
        <f>LEFT(#REF!,5)</f>
        <v>#REF!</v>
      </c>
      <c r="C872" s="2493" t="e">
        <f>VLOOKUP(LEFT(#REF!,5),'11 - FINANCEIRA'!_xlnm.Print_Area,2,FALSE)</f>
        <v>#REF!</v>
      </c>
      <c r="D872" s="2649" t="s">
        <v>254</v>
      </c>
      <c r="E872" s="2650"/>
      <c r="F872" s="2651"/>
      <c r="G872" s="2652" t="s">
        <v>255</v>
      </c>
      <c r="H872" s="2653"/>
      <c r="I872" s="2654"/>
      <c r="J872" s="2599"/>
      <c r="K872" s="2599"/>
      <c r="L872" s="2599"/>
      <c r="M872" s="2599"/>
      <c r="N872" s="2599"/>
      <c r="O872" s="2599"/>
      <c r="P872" s="2599" t="s">
        <v>256</v>
      </c>
      <c r="Q872" s="2599"/>
      <c r="R872" s="2578"/>
      <c r="S872" s="2497"/>
      <c r="T872" s="2497"/>
      <c r="U872" s="2587"/>
      <c r="V872" s="174" t="e">
        <f t="shared" si="115"/>
        <v>#REF!</v>
      </c>
      <c r="W872" s="175"/>
      <c r="X872" s="175"/>
      <c r="Y872" s="175"/>
      <c r="Z872" s="175"/>
      <c r="AA872" s="175"/>
    </row>
    <row r="873" spans="1:27" s="176" customFormat="1">
      <c r="A873" s="1110"/>
      <c r="B873" s="336"/>
      <c r="C873" s="266" t="s">
        <v>367</v>
      </c>
      <c r="D873" s="419">
        <v>0</v>
      </c>
      <c r="E873" s="592" t="s">
        <v>299</v>
      </c>
      <c r="F873" s="421">
        <v>14.04</v>
      </c>
      <c r="G873" s="422">
        <v>11</v>
      </c>
      <c r="H873" s="593" t="s">
        <v>299</v>
      </c>
      <c r="I873" s="424">
        <v>10</v>
      </c>
      <c r="J873" s="425"/>
      <c r="K873" s="548">
        <f>(G873-D873)*20+I873-F873</f>
        <v>215.96</v>
      </c>
      <c r="L873" s="425"/>
      <c r="M873" s="425"/>
      <c r="N873" s="425"/>
      <c r="O873" s="550">
        <f>R821</f>
        <v>3455.4189999999999</v>
      </c>
      <c r="P873" s="514">
        <v>1.71</v>
      </c>
      <c r="Q873" s="425">
        <v>3</v>
      </c>
      <c r="R873" s="515">
        <f>TRUNC(O873*P873*Q873,3)</f>
        <v>17726.298999999999</v>
      </c>
      <c r="S873" s="426" t="s">
        <v>166</v>
      </c>
      <c r="T873" s="427">
        <v>8</v>
      </c>
      <c r="U873" s="2228" t="s">
        <v>363</v>
      </c>
      <c r="V873" s="306" t="e">
        <f t="shared" si="115"/>
        <v>#REF!</v>
      </c>
      <c r="W873" s="175"/>
      <c r="X873" s="175"/>
      <c r="Y873" s="175"/>
      <c r="Z873" s="175"/>
      <c r="AA873" s="175"/>
    </row>
    <row r="874" spans="1:27" s="175" customFormat="1">
      <c r="A874" s="1110"/>
      <c r="B874" s="594"/>
      <c r="C874" s="339" t="s">
        <v>367</v>
      </c>
      <c r="D874" s="496">
        <v>6</v>
      </c>
      <c r="E874" s="584" t="s">
        <v>299</v>
      </c>
      <c r="F874" s="498">
        <v>0</v>
      </c>
      <c r="G874" s="533">
        <v>8</v>
      </c>
      <c r="H874" s="585" t="s">
        <v>299</v>
      </c>
      <c r="I874" s="545">
        <v>2</v>
      </c>
      <c r="J874" s="586"/>
      <c r="K874" s="434">
        <f>(G874-D874)*20+I874-F874</f>
        <v>42</v>
      </c>
      <c r="L874" s="434">
        <v>0.8</v>
      </c>
      <c r="M874" s="498">
        <v>1.2</v>
      </c>
      <c r="N874" s="464"/>
      <c r="O874" s="467">
        <f>K874*L874*M874</f>
        <v>40.32</v>
      </c>
      <c r="P874" s="461">
        <v>1.71</v>
      </c>
      <c r="Q874" s="463">
        <v>3</v>
      </c>
      <c r="R874" s="462">
        <f>O874*P874*Q874</f>
        <v>206.84159999999997</v>
      </c>
      <c r="S874" s="340" t="s">
        <v>166</v>
      </c>
      <c r="T874" s="347">
        <v>8</v>
      </c>
      <c r="U874" s="492" t="s">
        <v>364</v>
      </c>
      <c r="V874" s="306" t="e">
        <f>#REF!</f>
        <v>#REF!</v>
      </c>
    </row>
    <row r="875" spans="1:27" s="175" customFormat="1" ht="30">
      <c r="A875" s="1110"/>
      <c r="B875" s="2229"/>
      <c r="C875" s="1598" t="s">
        <v>367</v>
      </c>
      <c r="D875" s="2230"/>
      <c r="E875" s="2231"/>
      <c r="F875" s="1157"/>
      <c r="G875" s="1713"/>
      <c r="H875" s="2232"/>
      <c r="I875" s="1482"/>
      <c r="J875" s="1724"/>
      <c r="K875" s="2230"/>
      <c r="L875" s="360"/>
      <c r="M875" s="2189"/>
      <c r="N875" s="2233"/>
      <c r="O875" s="2234"/>
      <c r="P875" s="1599"/>
      <c r="Q875" s="2189"/>
      <c r="R875" s="1600"/>
      <c r="S875" s="360"/>
      <c r="T875" s="369"/>
      <c r="U875" s="2235" t="s">
        <v>523</v>
      </c>
      <c r="V875" s="596"/>
    </row>
    <row r="876" spans="1:27" s="40" customFormat="1" hidden="1">
      <c r="A876" s="1110"/>
      <c r="B876" s="2108"/>
      <c r="C876" s="343" t="s">
        <v>367</v>
      </c>
      <c r="D876" s="1033">
        <v>25</v>
      </c>
      <c r="E876" s="1035" t="s">
        <v>299</v>
      </c>
      <c r="F876" s="1034">
        <v>16</v>
      </c>
      <c r="G876" s="2109">
        <v>31</v>
      </c>
      <c r="H876" s="2110" t="s">
        <v>299</v>
      </c>
      <c r="I876" s="2111">
        <v>12</v>
      </c>
      <c r="J876" s="1702"/>
      <c r="K876" s="954">
        <f>(G876-D876)*20+I876-F876</f>
        <v>116</v>
      </c>
      <c r="L876" s="954">
        <v>3.5</v>
      </c>
      <c r="M876" s="2112"/>
      <c r="N876" s="2113"/>
      <c r="O876" s="2114">
        <f>R824</f>
        <v>1258.6000000000001</v>
      </c>
      <c r="P876" s="2115">
        <v>1.71</v>
      </c>
      <c r="Q876" s="2112">
        <v>0.75</v>
      </c>
      <c r="R876" s="2116">
        <f>TRUNC(O876*P876*Q876,3)</f>
        <v>1614.154</v>
      </c>
      <c r="S876" s="1702" t="s">
        <v>166</v>
      </c>
      <c r="T876" s="2117">
        <v>23</v>
      </c>
      <c r="U876" s="2118" t="s">
        <v>933</v>
      </c>
      <c r="V876" s="521" t="s">
        <v>944</v>
      </c>
    </row>
    <row r="877" spans="1:27" s="40" customFormat="1" hidden="1">
      <c r="A877" s="1110"/>
      <c r="B877" s="594"/>
      <c r="C877" s="339"/>
      <c r="D877" s="623"/>
      <c r="E877" s="624"/>
      <c r="F877" s="625"/>
      <c r="G877" s="455"/>
      <c r="H877" s="953"/>
      <c r="I877" s="457"/>
      <c r="J877" s="509"/>
      <c r="K877" s="558"/>
      <c r="L877" s="558"/>
      <c r="M877" s="534"/>
      <c r="N877" s="535"/>
      <c r="O877" s="465"/>
      <c r="P877" s="536"/>
      <c r="Q877" s="534"/>
      <c r="R877" s="537"/>
      <c r="S877" s="509"/>
      <c r="T877" s="539"/>
      <c r="U877" s="492"/>
      <c r="V877" s="521"/>
    </row>
    <row r="878" spans="1:27" s="40" customFormat="1" ht="30" hidden="1">
      <c r="A878" s="1110"/>
      <c r="B878" s="884"/>
      <c r="C878" s="547" t="s">
        <v>367</v>
      </c>
      <c r="D878" s="611">
        <v>25</v>
      </c>
      <c r="E878" s="916" t="s">
        <v>299</v>
      </c>
      <c r="F878" s="565">
        <v>16</v>
      </c>
      <c r="G878" s="432">
        <v>31</v>
      </c>
      <c r="H878" s="917" t="s">
        <v>299</v>
      </c>
      <c r="I878" s="433">
        <v>12</v>
      </c>
      <c r="J878" s="918"/>
      <c r="K878" s="546">
        <f>(G878-D878)*20+I878-F878</f>
        <v>116</v>
      </c>
      <c r="L878" s="546">
        <v>3.5</v>
      </c>
      <c r="M878" s="566">
        <v>0.35</v>
      </c>
      <c r="N878" s="714"/>
      <c r="O878" s="919">
        <f>K878*L878*M878</f>
        <v>142.1</v>
      </c>
      <c r="P878" s="619"/>
      <c r="Q878" s="566"/>
      <c r="R878" s="616">
        <f>O878</f>
        <v>142.1</v>
      </c>
      <c r="S878" s="357" t="str">
        <f>S876</f>
        <v>tkm</v>
      </c>
      <c r="T878" s="355">
        <v>24</v>
      </c>
      <c r="U878" s="633" t="s">
        <v>979</v>
      </c>
      <c r="V878" s="521" t="s">
        <v>944</v>
      </c>
    </row>
    <row r="879" spans="1:27" s="176" customFormat="1">
      <c r="A879" s="1110"/>
      <c r="B879" s="336"/>
      <c r="C879" s="266" t="s">
        <v>181</v>
      </c>
      <c r="D879" s="469">
        <v>25</v>
      </c>
      <c r="E879" s="2236" t="s">
        <v>299</v>
      </c>
      <c r="F879" s="471">
        <v>16</v>
      </c>
      <c r="G879" s="472"/>
      <c r="H879" s="2237"/>
      <c r="I879" s="474"/>
      <c r="J879" s="1194"/>
      <c r="K879" s="489">
        <v>2.0499999999999998</v>
      </c>
      <c r="L879" s="489">
        <v>2.0499999999999998</v>
      </c>
      <c r="M879" s="486">
        <v>3.1</v>
      </c>
      <c r="N879" s="470"/>
      <c r="O879" s="2238">
        <f>K879*L879*M879</f>
        <v>13.027749999999999</v>
      </c>
      <c r="P879" s="338"/>
      <c r="Q879" s="486"/>
      <c r="R879" s="191">
        <f>O879</f>
        <v>13.027749999999999</v>
      </c>
      <c r="S879" s="275" t="str">
        <f t="shared" ref="S879:S888" si="116">S878</f>
        <v>tkm</v>
      </c>
      <c r="T879" s="276">
        <v>24</v>
      </c>
      <c r="U879" s="637" t="s">
        <v>993</v>
      </c>
      <c r="V879" s="306" t="e">
        <f>V893</f>
        <v>#REF!</v>
      </c>
      <c r="W879" s="175"/>
      <c r="X879" s="175"/>
      <c r="Y879" s="175"/>
      <c r="Z879" s="175"/>
      <c r="AA879" s="175"/>
    </row>
    <row r="880" spans="1:27" s="40" customFormat="1">
      <c r="A880" s="1110"/>
      <c r="B880" s="594"/>
      <c r="C880" s="339" t="s">
        <v>367</v>
      </c>
      <c r="D880" s="496">
        <f>D852</f>
        <v>35</v>
      </c>
      <c r="E880" s="584" t="s">
        <v>299</v>
      </c>
      <c r="F880" s="498">
        <f>F852</f>
        <v>14</v>
      </c>
      <c r="G880" s="533">
        <f>G852</f>
        <v>39</v>
      </c>
      <c r="H880" s="585" t="s">
        <v>299</v>
      </c>
      <c r="I880" s="545">
        <f>I852</f>
        <v>16</v>
      </c>
      <c r="J880" s="586"/>
      <c r="K880" s="434"/>
      <c r="L880" s="434"/>
      <c r="M880" s="463"/>
      <c r="N880" s="464"/>
      <c r="O880" s="467">
        <f>O827</f>
        <v>851.03</v>
      </c>
      <c r="P880" s="536">
        <v>1.71</v>
      </c>
      <c r="Q880" s="463">
        <v>1.1000000000000001</v>
      </c>
      <c r="R880" s="537">
        <f t="shared" ref="R880:R885" si="117">TRUNC(O880*P880*Q880,3)</f>
        <v>1600.787</v>
      </c>
      <c r="S880" s="340" t="str">
        <f t="shared" si="116"/>
        <v>tkm</v>
      </c>
      <c r="T880" s="347">
        <v>25</v>
      </c>
      <c r="U880" s="492"/>
      <c r="V880" s="521"/>
    </row>
    <row r="881" spans="1:27" s="40" customFormat="1">
      <c r="A881" s="1110"/>
      <c r="B881" s="594"/>
      <c r="C881" s="339" t="s">
        <v>367</v>
      </c>
      <c r="D881" s="496">
        <f t="shared" ref="D881:I888" si="118">D316</f>
        <v>31</v>
      </c>
      <c r="E881" s="606" t="str">
        <f t="shared" si="118"/>
        <v>+</v>
      </c>
      <c r="F881" s="498">
        <f t="shared" si="118"/>
        <v>12</v>
      </c>
      <c r="G881" s="496">
        <f t="shared" si="118"/>
        <v>35</v>
      </c>
      <c r="H881" s="606" t="str">
        <f t="shared" si="118"/>
        <v>+</v>
      </c>
      <c r="I881" s="498">
        <f t="shared" si="118"/>
        <v>14</v>
      </c>
      <c r="J881" s="586"/>
      <c r="K881" s="434"/>
      <c r="L881" s="434"/>
      <c r="M881" s="463"/>
      <c r="N881" s="464"/>
      <c r="O881" s="467">
        <f t="shared" ref="O881:O888" si="119">O316</f>
        <v>1179.373</v>
      </c>
      <c r="P881" s="536">
        <v>1.71</v>
      </c>
      <c r="Q881" s="463">
        <v>1.1000000000000001</v>
      </c>
      <c r="R881" s="537">
        <f t="shared" si="117"/>
        <v>2218.4</v>
      </c>
      <c r="S881" s="340" t="str">
        <f t="shared" si="116"/>
        <v>tkm</v>
      </c>
      <c r="T881" s="347">
        <v>26</v>
      </c>
      <c r="U881" s="492"/>
      <c r="V881" s="521"/>
    </row>
    <row r="882" spans="1:27" s="40" customFormat="1">
      <c r="A882" s="1110"/>
      <c r="B882" s="594"/>
      <c r="C882" s="339" t="s">
        <v>367</v>
      </c>
      <c r="D882" s="496">
        <f t="shared" si="118"/>
        <v>39</v>
      </c>
      <c r="E882" s="606" t="str">
        <f t="shared" si="118"/>
        <v>+</v>
      </c>
      <c r="F882" s="498">
        <f t="shared" si="118"/>
        <v>16</v>
      </c>
      <c r="G882" s="496">
        <f t="shared" si="118"/>
        <v>41</v>
      </c>
      <c r="H882" s="606" t="str">
        <f t="shared" si="118"/>
        <v>+</v>
      </c>
      <c r="I882" s="498">
        <f t="shared" si="118"/>
        <v>16</v>
      </c>
      <c r="J882" s="586"/>
      <c r="K882" s="434"/>
      <c r="L882" s="434"/>
      <c r="M882" s="463"/>
      <c r="N882" s="464"/>
      <c r="O882" s="467">
        <f t="shared" si="119"/>
        <v>517.97699999999998</v>
      </c>
      <c r="P882" s="536">
        <v>1.71</v>
      </c>
      <c r="Q882" s="463">
        <v>1.1000000000000001</v>
      </c>
      <c r="R882" s="537">
        <f t="shared" si="117"/>
        <v>974.31399999999996</v>
      </c>
      <c r="S882" s="340" t="str">
        <f t="shared" si="116"/>
        <v>tkm</v>
      </c>
      <c r="T882" s="347">
        <v>26</v>
      </c>
      <c r="U882" s="492"/>
      <c r="V882" s="521"/>
    </row>
    <row r="883" spans="1:27" s="40" customFormat="1">
      <c r="A883" s="1110"/>
      <c r="B883" s="594"/>
      <c r="C883" s="339" t="s">
        <v>367</v>
      </c>
      <c r="D883" s="496">
        <f t="shared" si="118"/>
        <v>41</v>
      </c>
      <c r="E883" s="606" t="str">
        <f t="shared" si="118"/>
        <v>+</v>
      </c>
      <c r="F883" s="498">
        <f t="shared" si="118"/>
        <v>16</v>
      </c>
      <c r="G883" s="496">
        <f t="shared" si="118"/>
        <v>42</v>
      </c>
      <c r="H883" s="606" t="str">
        <f t="shared" si="118"/>
        <v>+</v>
      </c>
      <c r="I883" s="498">
        <f t="shared" si="118"/>
        <v>12</v>
      </c>
      <c r="J883" s="586"/>
      <c r="K883" s="434"/>
      <c r="L883" s="434"/>
      <c r="M883" s="463"/>
      <c r="N883" s="464"/>
      <c r="O883" s="467">
        <f t="shared" si="119"/>
        <v>240.136</v>
      </c>
      <c r="P883" s="536">
        <v>1.71</v>
      </c>
      <c r="Q883" s="463">
        <v>1.1000000000000001</v>
      </c>
      <c r="R883" s="537">
        <f t="shared" si="117"/>
        <v>451.69499999999999</v>
      </c>
      <c r="S883" s="340" t="str">
        <f t="shared" si="116"/>
        <v>tkm</v>
      </c>
      <c r="T883" s="347">
        <v>27</v>
      </c>
      <c r="U883" s="492"/>
      <c r="V883" s="521"/>
    </row>
    <row r="884" spans="1:27" s="40" customFormat="1">
      <c r="A884" s="1110"/>
      <c r="B884" s="594"/>
      <c r="C884" s="339" t="s">
        <v>367</v>
      </c>
      <c r="D884" s="496">
        <f t="shared" si="118"/>
        <v>31</v>
      </c>
      <c r="E884" s="606" t="str">
        <f t="shared" si="118"/>
        <v>+</v>
      </c>
      <c r="F884" s="498">
        <f t="shared" si="118"/>
        <v>12</v>
      </c>
      <c r="G884" s="496">
        <f t="shared" si="118"/>
        <v>37</v>
      </c>
      <c r="H884" s="606" t="str">
        <f t="shared" si="118"/>
        <v>+</v>
      </c>
      <c r="I884" s="498">
        <f t="shared" si="118"/>
        <v>12</v>
      </c>
      <c r="J884" s="586"/>
      <c r="K884" s="434"/>
      <c r="L884" s="434"/>
      <c r="M884" s="463"/>
      <c r="N884" s="464"/>
      <c r="O884" s="467">
        <f t="shared" si="119"/>
        <v>270</v>
      </c>
      <c r="P884" s="536">
        <v>1.71</v>
      </c>
      <c r="Q884" s="463">
        <v>1.1000000000000001</v>
      </c>
      <c r="R884" s="537">
        <f t="shared" si="117"/>
        <v>507.87</v>
      </c>
      <c r="S884" s="340" t="str">
        <f t="shared" si="116"/>
        <v>tkm</v>
      </c>
      <c r="T884" s="347">
        <v>27</v>
      </c>
      <c r="U884" s="492"/>
      <c r="V884" s="521"/>
    </row>
    <row r="885" spans="1:27" s="40" customFormat="1">
      <c r="A885" s="1110"/>
      <c r="B885" s="594"/>
      <c r="C885" s="339" t="s">
        <v>367</v>
      </c>
      <c r="D885" s="496">
        <f t="shared" si="118"/>
        <v>31</v>
      </c>
      <c r="E885" s="606" t="str">
        <f t="shared" si="118"/>
        <v>+</v>
      </c>
      <c r="F885" s="498">
        <f t="shared" si="118"/>
        <v>12</v>
      </c>
      <c r="G885" s="496">
        <f t="shared" si="118"/>
        <v>42</v>
      </c>
      <c r="H885" s="606" t="str">
        <f t="shared" si="118"/>
        <v>+</v>
      </c>
      <c r="I885" s="498">
        <f t="shared" si="118"/>
        <v>2</v>
      </c>
      <c r="J885" s="586"/>
      <c r="K885" s="434"/>
      <c r="L885" s="434"/>
      <c r="M885" s="463"/>
      <c r="N885" s="464"/>
      <c r="O885" s="467">
        <f t="shared" si="119"/>
        <v>126</v>
      </c>
      <c r="P885" s="536">
        <v>1.71</v>
      </c>
      <c r="Q885" s="463">
        <v>1.1000000000000001</v>
      </c>
      <c r="R885" s="537">
        <f t="shared" si="117"/>
        <v>237.006</v>
      </c>
      <c r="S885" s="340" t="str">
        <f t="shared" si="116"/>
        <v>tkm</v>
      </c>
      <c r="T885" s="347">
        <v>27</v>
      </c>
      <c r="U885" s="492"/>
      <c r="V885" s="521"/>
    </row>
    <row r="886" spans="1:27" s="39" customFormat="1">
      <c r="A886" s="1771"/>
      <c r="B886" s="1211"/>
      <c r="C886" s="510" t="s">
        <v>367</v>
      </c>
      <c r="D886" s="436">
        <f t="shared" si="118"/>
        <v>42</v>
      </c>
      <c r="E886" s="794" t="str">
        <f t="shared" si="118"/>
        <v>+</v>
      </c>
      <c r="F886" s="437">
        <f t="shared" si="118"/>
        <v>12</v>
      </c>
      <c r="G886" s="436">
        <f t="shared" si="118"/>
        <v>43</v>
      </c>
      <c r="H886" s="794" t="str">
        <f t="shared" si="118"/>
        <v>+</v>
      </c>
      <c r="I886" s="437">
        <f t="shared" si="118"/>
        <v>14</v>
      </c>
      <c r="J886" s="1207"/>
      <c r="K886" s="439"/>
      <c r="L886" s="439"/>
      <c r="M886" s="865"/>
      <c r="N886" s="864"/>
      <c r="O886" s="1208">
        <f t="shared" si="119"/>
        <v>306.90000000000003</v>
      </c>
      <c r="P886" s="890">
        <v>1.71</v>
      </c>
      <c r="Q886" s="865">
        <v>3</v>
      </c>
      <c r="R886" s="891">
        <f t="shared" ref="R886" si="120">TRUNC(O886*P886*Q886,3)</f>
        <v>1574.3969999999999</v>
      </c>
      <c r="S886" s="438" t="str">
        <f t="shared" si="116"/>
        <v>tkm</v>
      </c>
      <c r="T886" s="441">
        <v>28</v>
      </c>
      <c r="U886" s="595"/>
      <c r="V886" s="1177"/>
    </row>
    <row r="887" spans="1:27" s="39" customFormat="1">
      <c r="A887" s="1771"/>
      <c r="B887" s="1211"/>
      <c r="C887" s="510" t="s">
        <v>367</v>
      </c>
      <c r="D887" s="436">
        <f t="shared" si="118"/>
        <v>37</v>
      </c>
      <c r="E887" s="794" t="str">
        <f t="shared" si="118"/>
        <v>+</v>
      </c>
      <c r="F887" s="437">
        <f t="shared" si="118"/>
        <v>12</v>
      </c>
      <c r="G887" s="436">
        <f t="shared" si="118"/>
        <v>43</v>
      </c>
      <c r="H887" s="794" t="str">
        <f t="shared" si="118"/>
        <v>+</v>
      </c>
      <c r="I887" s="437">
        <f t="shared" si="118"/>
        <v>14</v>
      </c>
      <c r="J887" s="1207"/>
      <c r="K887" s="439"/>
      <c r="L887" s="439"/>
      <c r="M887" s="865"/>
      <c r="N887" s="864"/>
      <c r="O887" s="1208">
        <f t="shared" si="119"/>
        <v>329.4</v>
      </c>
      <c r="P887" s="890">
        <v>1.71</v>
      </c>
      <c r="Q887" s="865">
        <v>3</v>
      </c>
      <c r="R887" s="891">
        <f t="shared" ref="R887" si="121">TRUNC(O887*P887*Q887,3)</f>
        <v>1689.8219999999999</v>
      </c>
      <c r="S887" s="438" t="str">
        <f t="shared" si="116"/>
        <v>tkm</v>
      </c>
      <c r="T887" s="441">
        <v>28</v>
      </c>
      <c r="U887" s="595"/>
      <c r="V887" s="1177"/>
    </row>
    <row r="888" spans="1:27" s="39" customFormat="1">
      <c r="A888" s="1771"/>
      <c r="B888" s="1211"/>
      <c r="C888" s="510" t="s">
        <v>367</v>
      </c>
      <c r="D888" s="436">
        <f t="shared" si="118"/>
        <v>42</v>
      </c>
      <c r="E888" s="794" t="str">
        <f t="shared" si="118"/>
        <v>+</v>
      </c>
      <c r="F888" s="437">
        <f t="shared" si="118"/>
        <v>12</v>
      </c>
      <c r="G888" s="436">
        <f t="shared" si="118"/>
        <v>43</v>
      </c>
      <c r="H888" s="794" t="str">
        <f t="shared" si="118"/>
        <v>+</v>
      </c>
      <c r="I888" s="437">
        <f t="shared" si="118"/>
        <v>14</v>
      </c>
      <c r="J888" s="1207"/>
      <c r="K888" s="439"/>
      <c r="L888" s="439"/>
      <c r="M888" s="865"/>
      <c r="N888" s="864"/>
      <c r="O888" s="1208">
        <f t="shared" si="119"/>
        <v>17.16</v>
      </c>
      <c r="P888" s="890">
        <v>1.71</v>
      </c>
      <c r="Q888" s="865">
        <v>3</v>
      </c>
      <c r="R888" s="891">
        <f t="shared" ref="R888" si="122">TRUNC(O888*P888*Q888,3)</f>
        <v>88.03</v>
      </c>
      <c r="S888" s="438" t="str">
        <f t="shared" si="116"/>
        <v>tkm</v>
      </c>
      <c r="T888" s="441">
        <v>28</v>
      </c>
      <c r="U888" s="595"/>
      <c r="V888" s="1177"/>
    </row>
    <row r="889" spans="1:27" s="1509" customFormat="1" ht="20.45" customHeight="1">
      <c r="A889" s="1772"/>
      <c r="B889" s="1655"/>
      <c r="C889" s="972"/>
      <c r="D889" s="1656"/>
      <c r="E889" s="1592"/>
      <c r="F889" s="1657"/>
      <c r="G889" s="1656"/>
      <c r="H889" s="1592"/>
      <c r="I889" s="1657"/>
      <c r="J889" s="1658"/>
      <c r="K889" s="1658"/>
      <c r="L889" s="1658"/>
      <c r="M889" s="1659"/>
      <c r="N889" s="1592"/>
      <c r="O889" s="1660"/>
      <c r="P889" s="1658"/>
      <c r="Q889" s="1659"/>
      <c r="R889" s="1661"/>
      <c r="S889" s="1658"/>
      <c r="T889" s="1662"/>
      <c r="U889" s="1663"/>
      <c r="V889" s="1508"/>
    </row>
    <row r="890" spans="1:27" s="40" customFormat="1">
      <c r="A890" s="1110"/>
      <c r="B890" s="645"/>
      <c r="C890" s="1614"/>
      <c r="D890" s="2548" t="s">
        <v>257</v>
      </c>
      <c r="E890" s="2549"/>
      <c r="F890" s="2549"/>
      <c r="G890" s="2549"/>
      <c r="H890" s="2549"/>
      <c r="I890" s="2550"/>
      <c r="J890" s="2490">
        <f>VLOOKUP(A892,'11 - FINANCEIRA'!$A$16:$AE$156,30,FALSE)</f>
        <v>36288.070000000007</v>
      </c>
      <c r="K890" s="2491"/>
      <c r="L890" s="590" t="str">
        <f>VLOOKUP(A892,'11 - FINANCEIRA'!_xlnm.Print_Area,4,FALSE)</f>
        <v>tkm</v>
      </c>
      <c r="M890" s="2561" t="s">
        <v>258</v>
      </c>
      <c r="N890" s="2562"/>
      <c r="O890" s="2562"/>
      <c r="P890" s="2562"/>
      <c r="Q890" s="2563"/>
      <c r="R890" s="375">
        <f>SUM(R873:R889)</f>
        <v>29044.743349999997</v>
      </c>
      <c r="S890" s="591" t="str">
        <f>L890</f>
        <v>tkm</v>
      </c>
      <c r="T890" s="390"/>
      <c r="U890" s="391"/>
      <c r="V890" s="306">
        <f t="shared" si="115"/>
        <v>3352.2489999999998</v>
      </c>
    </row>
    <row r="891" spans="1:27" s="40" customFormat="1">
      <c r="A891" s="1110"/>
      <c r="B891" s="1350"/>
      <c r="C891" s="1351"/>
      <c r="D891" s="2505" t="s">
        <v>259</v>
      </c>
      <c r="E891" s="2506"/>
      <c r="F891" s="2506"/>
      <c r="G891" s="2506"/>
      <c r="H891" s="2506"/>
      <c r="I891" s="2507"/>
      <c r="J891" s="2511">
        <f>R890/J890</f>
        <v>0.8003937203053233</v>
      </c>
      <c r="K891" s="2512"/>
      <c r="L891" s="2559"/>
      <c r="M891" s="2561" t="s">
        <v>260</v>
      </c>
      <c r="N891" s="2562"/>
      <c r="O891" s="2562"/>
      <c r="P891" s="2562"/>
      <c r="Q891" s="2563"/>
      <c r="R891" s="375">
        <f>VLOOKUP(A892,'11 - FINANCEIRA'!_xlnm.Print_Area,8,FALSE)</f>
        <v>25692.494349999997</v>
      </c>
      <c r="S891" s="376" t="str">
        <f>L890</f>
        <v>tkm</v>
      </c>
      <c r="T891" s="372"/>
      <c r="U891" s="1227"/>
      <c r="V891" s="306">
        <f t="shared" si="115"/>
        <v>3352.2489999999998</v>
      </c>
    </row>
    <row r="892" spans="1:27" s="40" customFormat="1">
      <c r="A892" s="1106" t="s">
        <v>71</v>
      </c>
      <c r="B892" s="647"/>
      <c r="C892" s="1352"/>
      <c r="D892" s="2551"/>
      <c r="E892" s="2552"/>
      <c r="F892" s="2552"/>
      <c r="G892" s="2552"/>
      <c r="H892" s="2552"/>
      <c r="I892" s="2553"/>
      <c r="J892" s="2530"/>
      <c r="K892" s="2531"/>
      <c r="L892" s="2560"/>
      <c r="M892" s="2561" t="s">
        <v>261</v>
      </c>
      <c r="N892" s="2562"/>
      <c r="O892" s="2562"/>
      <c r="P892" s="2562"/>
      <c r="Q892" s="2563"/>
      <c r="R892" s="248">
        <f>R890-R891</f>
        <v>3352.2489999999998</v>
      </c>
      <c r="S892" s="376" t="str">
        <f>L890</f>
        <v>tkm</v>
      </c>
      <c r="T892" s="2081"/>
      <c r="U892" s="1355"/>
      <c r="V892" s="174">
        <f>R892</f>
        <v>3352.2489999999998</v>
      </c>
    </row>
    <row r="893" spans="1:27" s="40" customFormat="1" hidden="1">
      <c r="A893" s="1106"/>
      <c r="B893" s="2119"/>
      <c r="C893" s="2120"/>
      <c r="D893" s="2121"/>
      <c r="E893" s="2122"/>
      <c r="F893" s="2121"/>
      <c r="G893" s="2121"/>
      <c r="H893" s="2121"/>
      <c r="I893" s="2121"/>
      <c r="J893" s="2123"/>
      <c r="K893" s="2124"/>
      <c r="L893" s="2125"/>
      <c r="M893" s="2126"/>
      <c r="N893" s="2126"/>
      <c r="O893" s="2126"/>
      <c r="P893" s="2126"/>
      <c r="Q893" s="2126"/>
      <c r="R893" s="2127"/>
      <c r="S893" s="2128"/>
      <c r="T893" s="372"/>
      <c r="U893" s="1227"/>
      <c r="V893" s="265" t="e">
        <f>SUM(V871:V892)</f>
        <v>#REF!</v>
      </c>
    </row>
    <row r="894" spans="1:27" s="176" customFormat="1">
      <c r="A894" s="1106"/>
      <c r="B894" s="2463">
        <f>VLOOKUP(A902,'11 - FINANCEIRA'!_xlnm.Print_Area,2,FALSE)</f>
        <v>60024</v>
      </c>
      <c r="C894" s="2629" t="str">
        <f>VLOOKUP(A902,'11 - FINANCEIRA'!_xlnm.Print_Area,3,FALSE)</f>
        <v>Transporte de materiais para DMT acima de 15 KM (Caminhão basculante) - solo de jazida comercial (saibreira)null - DMT = 1,30</v>
      </c>
      <c r="D894" s="2472" t="s">
        <v>242</v>
      </c>
      <c r="E894" s="2473"/>
      <c r="F894" s="2473"/>
      <c r="G894" s="2473"/>
      <c r="H894" s="2473"/>
      <c r="I894" s="2474"/>
      <c r="J894" s="2467" t="s">
        <v>243</v>
      </c>
      <c r="K894" s="2467" t="s">
        <v>244</v>
      </c>
      <c r="L894" s="2467" t="s">
        <v>245</v>
      </c>
      <c r="M894" s="2467" t="s">
        <v>246</v>
      </c>
      <c r="N894" s="2467" t="s">
        <v>247</v>
      </c>
      <c r="O894" s="2467" t="s">
        <v>248</v>
      </c>
      <c r="P894" s="173" t="s">
        <v>249</v>
      </c>
      <c r="Q894" s="2467" t="s">
        <v>624</v>
      </c>
      <c r="R894" s="2579" t="s">
        <v>139</v>
      </c>
      <c r="S894" s="2467" t="s">
        <v>251</v>
      </c>
      <c r="T894" s="2467" t="s">
        <v>252</v>
      </c>
      <c r="U894" s="2584" t="s">
        <v>253</v>
      </c>
      <c r="V894" s="174" t="e">
        <f t="shared" ref="V894:V901" si="123">V895</f>
        <v>#REF!</v>
      </c>
      <c r="W894" s="175"/>
      <c r="X894" s="175"/>
      <c r="Y894" s="175"/>
      <c r="Z894" s="175"/>
      <c r="AA894" s="175"/>
    </row>
    <row r="895" spans="1:27" s="176" customFormat="1" ht="40.15" customHeight="1">
      <c r="A895" s="1106"/>
      <c r="B895" s="2464" t="e">
        <f>LEFT(#REF!,5)</f>
        <v>#REF!</v>
      </c>
      <c r="C895" s="2630" t="e">
        <f>VLOOKUP(LEFT(#REF!,5),'11 - FINANCEIRA'!_xlnm.Print_Area,2,FALSE)</f>
        <v>#REF!</v>
      </c>
      <c r="D895" s="2475" t="s">
        <v>254</v>
      </c>
      <c r="E895" s="2476"/>
      <c r="F895" s="2477"/>
      <c r="G895" s="2469" t="s">
        <v>255</v>
      </c>
      <c r="H895" s="2470"/>
      <c r="I895" s="2471"/>
      <c r="J895" s="2468"/>
      <c r="K895" s="2468"/>
      <c r="L895" s="2468"/>
      <c r="M895" s="2468"/>
      <c r="N895" s="2468"/>
      <c r="O895" s="2468"/>
      <c r="P895" s="177" t="s">
        <v>256</v>
      </c>
      <c r="Q895" s="2468"/>
      <c r="R895" s="2580"/>
      <c r="S895" s="2468"/>
      <c r="T895" s="2468"/>
      <c r="U895" s="2585"/>
      <c r="V895" s="174" t="e">
        <f t="shared" si="123"/>
        <v>#REF!</v>
      </c>
      <c r="W895" s="175"/>
      <c r="X895" s="175"/>
      <c r="Y895" s="175"/>
      <c r="Z895" s="175"/>
      <c r="AA895" s="175"/>
    </row>
    <row r="896" spans="1:27" s="176" customFormat="1">
      <c r="A896" s="1110"/>
      <c r="B896" s="336"/>
      <c r="C896" s="266" t="s">
        <v>623</v>
      </c>
      <c r="D896" s="496">
        <v>9</v>
      </c>
      <c r="E896" s="606" t="s">
        <v>299</v>
      </c>
      <c r="F896" s="498">
        <v>0</v>
      </c>
      <c r="G896" s="496">
        <v>9</v>
      </c>
      <c r="H896" s="606" t="s">
        <v>299</v>
      </c>
      <c r="I896" s="498">
        <v>0</v>
      </c>
      <c r="J896" s="275"/>
      <c r="K896" s="275"/>
      <c r="L896" s="275"/>
      <c r="M896" s="275"/>
      <c r="N896" s="275"/>
      <c r="O896" s="489">
        <f>O863</f>
        <v>76.846350000000001</v>
      </c>
      <c r="P896" s="338">
        <v>1.6</v>
      </c>
      <c r="Q896" s="275"/>
      <c r="R896" s="191">
        <f>O896*P896</f>
        <v>122.95416</v>
      </c>
      <c r="S896" s="275" t="s">
        <v>168</v>
      </c>
      <c r="T896" s="276">
        <v>15</v>
      </c>
      <c r="U896" s="2183" t="s">
        <v>626</v>
      </c>
      <c r="V896" s="306" t="e">
        <f t="shared" si="123"/>
        <v>#REF!</v>
      </c>
      <c r="W896" s="175"/>
      <c r="X896" s="175"/>
      <c r="Y896" s="175"/>
      <c r="Z896" s="175"/>
      <c r="AA896" s="175"/>
    </row>
    <row r="897" spans="1:27" s="176" customFormat="1">
      <c r="A897" s="1110"/>
      <c r="B897" s="296"/>
      <c r="C897" s="1518" t="s">
        <v>934</v>
      </c>
      <c r="D897" s="623">
        <v>25</v>
      </c>
      <c r="E897" s="624" t="s">
        <v>299</v>
      </c>
      <c r="F897" s="625">
        <v>16</v>
      </c>
      <c r="G897" s="455">
        <v>31</v>
      </c>
      <c r="H897" s="953" t="s">
        <v>299</v>
      </c>
      <c r="I897" s="457">
        <v>12</v>
      </c>
      <c r="J897" s="340"/>
      <c r="K897" s="558">
        <f>(G897-D897)*20+I897-F897</f>
        <v>116</v>
      </c>
      <c r="L897" s="344"/>
      <c r="M897" s="344"/>
      <c r="N897" s="344"/>
      <c r="O897" s="345">
        <f>R864</f>
        <v>116</v>
      </c>
      <c r="P897" s="1198">
        <v>1.6</v>
      </c>
      <c r="Q897" s="345"/>
      <c r="R897" s="462">
        <f>O897*P897</f>
        <v>185.60000000000002</v>
      </c>
      <c r="S897" s="406" t="s">
        <v>168</v>
      </c>
      <c r="T897" s="347">
        <v>23</v>
      </c>
      <c r="U897" s="435" t="s">
        <v>923</v>
      </c>
      <c r="V897" s="306" t="e">
        <f>#REF!</f>
        <v>#REF!</v>
      </c>
      <c r="W897" s="175"/>
      <c r="X897" s="175"/>
      <c r="Y897" s="175"/>
      <c r="Z897" s="175"/>
      <c r="AA897" s="175"/>
    </row>
    <row r="898" spans="1:27" s="765" customFormat="1">
      <c r="A898" s="1771"/>
      <c r="B898" s="767"/>
      <c r="C898" s="510" t="s">
        <v>1191</v>
      </c>
      <c r="D898" s="436">
        <v>33</v>
      </c>
      <c r="E898" s="794" t="s">
        <v>299</v>
      </c>
      <c r="F898" s="437">
        <v>14</v>
      </c>
      <c r="G898" s="436">
        <v>34</v>
      </c>
      <c r="H898" s="794" t="s">
        <v>299</v>
      </c>
      <c r="I898" s="437">
        <v>12</v>
      </c>
      <c r="J898" s="439"/>
      <c r="K898" s="553">
        <v>22</v>
      </c>
      <c r="L898" s="553"/>
      <c r="M898" s="438">
        <v>0.15</v>
      </c>
      <c r="N898" s="1229"/>
      <c r="O898" s="454">
        <f>R927</f>
        <v>17.204000000000001</v>
      </c>
      <c r="P898" s="453">
        <v>2.4</v>
      </c>
      <c r="Q898" s="439"/>
      <c r="R898" s="454">
        <f>O898*P898</f>
        <v>41.2896</v>
      </c>
      <c r="S898" s="438" t="s">
        <v>168</v>
      </c>
      <c r="T898" s="441">
        <v>28</v>
      </c>
      <c r="U898" s="1164" t="s">
        <v>1115</v>
      </c>
      <c r="V898" s="713"/>
      <c r="W898" s="688"/>
      <c r="X898" s="688"/>
      <c r="Y898" s="688"/>
      <c r="Z898" s="688"/>
      <c r="AA898" s="688"/>
    </row>
    <row r="899" spans="1:27" s="765" customFormat="1">
      <c r="A899" s="1771"/>
      <c r="B899" s="1515"/>
      <c r="C899" s="972" t="s">
        <v>1197</v>
      </c>
      <c r="D899" s="869">
        <v>33</v>
      </c>
      <c r="E899" s="1516" t="s">
        <v>299</v>
      </c>
      <c r="F899" s="870">
        <v>14</v>
      </c>
      <c r="G899" s="869">
        <v>34</v>
      </c>
      <c r="H899" s="1516" t="s">
        <v>299</v>
      </c>
      <c r="I899" s="870">
        <v>12</v>
      </c>
      <c r="J899" s="871"/>
      <c r="K899" s="1030">
        <v>22</v>
      </c>
      <c r="L899" s="1030"/>
      <c r="M899" s="760">
        <v>0.15</v>
      </c>
      <c r="N899" s="1517"/>
      <c r="O899" s="962">
        <f>R927</f>
        <v>17.204000000000001</v>
      </c>
      <c r="P899" s="873">
        <v>1.6</v>
      </c>
      <c r="Q899" s="871"/>
      <c r="R899" s="962">
        <f>O899*P899</f>
        <v>27.526400000000002</v>
      </c>
      <c r="S899" s="760" t="s">
        <v>168</v>
      </c>
      <c r="T899" s="874">
        <v>28</v>
      </c>
      <c r="U899" s="768" t="s">
        <v>1115</v>
      </c>
      <c r="V899" s="713"/>
      <c r="W899" s="688"/>
      <c r="X899" s="688"/>
      <c r="Y899" s="688"/>
      <c r="Z899" s="688"/>
      <c r="AA899" s="688"/>
    </row>
    <row r="900" spans="1:27" s="40" customFormat="1">
      <c r="A900" s="1106"/>
      <c r="B900" s="239"/>
      <c r="C900" s="1603"/>
      <c r="D900" s="2527" t="s">
        <v>257</v>
      </c>
      <c r="E900" s="2528"/>
      <c r="F900" s="2528"/>
      <c r="G900" s="2528"/>
      <c r="H900" s="2528"/>
      <c r="I900" s="2529"/>
      <c r="J900" s="2490">
        <f>VLOOKUP(A902,'11 - FINANCEIRA'!_xlnm.Print_Area,30,FALSE)</f>
        <v>2680.98</v>
      </c>
      <c r="K900" s="2491"/>
      <c r="L900" s="309" t="str">
        <f>VLOOKUP(A902,'11 - FINANCEIRA'!_xlnm.Print_Area,4,FALSE)</f>
        <v>T</v>
      </c>
      <c r="M900" s="2556" t="s">
        <v>258</v>
      </c>
      <c r="N900" s="2557"/>
      <c r="O900" s="2557"/>
      <c r="P900" s="2557"/>
      <c r="Q900" s="2558"/>
      <c r="R900" s="248">
        <f>SUM(R896:R899)</f>
        <v>377.37016000000006</v>
      </c>
      <c r="S900" s="310" t="str">
        <f>L900</f>
        <v>T</v>
      </c>
      <c r="T900" s="321"/>
      <c r="U900" s="322"/>
      <c r="V900" s="174">
        <f t="shared" si="123"/>
        <v>68.816000000000031</v>
      </c>
    </row>
    <row r="901" spans="1:27" s="40" customFormat="1">
      <c r="A901" s="1106"/>
      <c r="B901" s="1123"/>
      <c r="C901" s="2182"/>
      <c r="D901" s="2521" t="s">
        <v>259</v>
      </c>
      <c r="E901" s="2522"/>
      <c r="F901" s="2522"/>
      <c r="G901" s="2522"/>
      <c r="H901" s="2522"/>
      <c r="I901" s="2523"/>
      <c r="J901" s="2515">
        <f>R900/J900</f>
        <v>0.1407582898790741</v>
      </c>
      <c r="K901" s="2516"/>
      <c r="L901" s="2554"/>
      <c r="M901" s="2556" t="s">
        <v>260</v>
      </c>
      <c r="N901" s="2557"/>
      <c r="O901" s="2557"/>
      <c r="P901" s="2557"/>
      <c r="Q901" s="2558"/>
      <c r="R901" s="248">
        <f>VLOOKUP(A902,'11 - FINANCEIRA'!_xlnm.Print_Area,8,FALSE)</f>
        <v>308.55416000000002</v>
      </c>
      <c r="S901" s="249" t="str">
        <f>L900</f>
        <v>T</v>
      </c>
      <c r="T901" s="244"/>
      <c r="U901" s="1124"/>
      <c r="V901" s="174">
        <f t="shared" si="123"/>
        <v>68.816000000000031</v>
      </c>
    </row>
    <row r="902" spans="1:27" s="40" customFormat="1">
      <c r="A902" s="1106" t="s">
        <v>72</v>
      </c>
      <c r="B902" s="250"/>
      <c r="C902" s="598"/>
      <c r="D902" s="2539"/>
      <c r="E902" s="2540"/>
      <c r="F902" s="2540"/>
      <c r="G902" s="2540"/>
      <c r="H902" s="2540"/>
      <c r="I902" s="2541"/>
      <c r="J902" s="2517"/>
      <c r="K902" s="2518"/>
      <c r="L902" s="2555"/>
      <c r="M902" s="2556" t="s">
        <v>261</v>
      </c>
      <c r="N902" s="2557"/>
      <c r="O902" s="2557"/>
      <c r="P902" s="2557"/>
      <c r="Q902" s="2558"/>
      <c r="R902" s="248">
        <f>R900-R901</f>
        <v>68.816000000000031</v>
      </c>
      <c r="S902" s="249" t="str">
        <f>L900</f>
        <v>T</v>
      </c>
      <c r="T902" s="562"/>
      <c r="U902" s="563"/>
      <c r="V902" s="174">
        <f>R902</f>
        <v>68.816000000000031</v>
      </c>
    </row>
    <row r="903" spans="1:27" s="40" customFormat="1" hidden="1">
      <c r="A903" s="1106"/>
      <c r="B903" s="2087"/>
      <c r="C903" s="2088"/>
      <c r="D903" s="2089"/>
      <c r="E903" s="2090"/>
      <c r="F903" s="2089"/>
      <c r="G903" s="2089"/>
      <c r="H903" s="2089"/>
      <c r="I903" s="2089"/>
      <c r="J903" s="2091"/>
      <c r="K903" s="2092"/>
      <c r="L903" s="2093"/>
      <c r="M903" s="2094"/>
      <c r="N903" s="2094"/>
      <c r="O903" s="2094"/>
      <c r="P903" s="2094"/>
      <c r="Q903" s="2094"/>
      <c r="R903" s="2095"/>
      <c r="S903" s="2096"/>
      <c r="T903" s="244"/>
      <c r="U903" s="1124"/>
      <c r="V903" s="265" t="e">
        <f>SUM(V894:V902)</f>
        <v>#REF!</v>
      </c>
    </row>
    <row r="904" spans="1:27" s="176" customFormat="1" hidden="1">
      <c r="A904" s="1228" t="s">
        <v>540</v>
      </c>
      <c r="B904" s="2463">
        <f>VLOOKUP(A911,'11 - FINANCEIRA'!_xlnm.Print_Area,2,FALSE)</f>
        <v>645387</v>
      </c>
      <c r="C904" s="2503" t="str">
        <f>VLOOKUP(A911,'11 - FINANCEIRA'!_xlnm.Print_Area,3,FALSE)</f>
        <v>Destinação Final de Resíduos Classe II A em aterro sanitário controlado - BDI = 14,02</v>
      </c>
      <c r="D904" s="2472" t="s">
        <v>242</v>
      </c>
      <c r="E904" s="2473"/>
      <c r="F904" s="2473"/>
      <c r="G904" s="2473"/>
      <c r="H904" s="2473"/>
      <c r="I904" s="2474"/>
      <c r="J904" s="2467" t="s">
        <v>243</v>
      </c>
      <c r="K904" s="2467" t="s">
        <v>244</v>
      </c>
      <c r="L904" s="2467" t="s">
        <v>245</v>
      </c>
      <c r="M904" s="2467" t="s">
        <v>246</v>
      </c>
      <c r="N904" s="2467" t="s">
        <v>247</v>
      </c>
      <c r="O904" s="2467" t="s">
        <v>248</v>
      </c>
      <c r="P904" s="173" t="s">
        <v>249</v>
      </c>
      <c r="Q904" s="2467" t="s">
        <v>250</v>
      </c>
      <c r="R904" s="2579" t="s">
        <v>139</v>
      </c>
      <c r="S904" s="2467" t="s">
        <v>251</v>
      </c>
      <c r="T904" s="2467" t="s">
        <v>252</v>
      </c>
      <c r="U904" s="2584" t="s">
        <v>253</v>
      </c>
      <c r="V904" s="174" t="e">
        <f t="shared" ref="V904:V910" si="124">V905</f>
        <v>#REF!</v>
      </c>
      <c r="W904" s="175"/>
      <c r="X904" s="175"/>
      <c r="Y904" s="175"/>
      <c r="Z904" s="175"/>
      <c r="AA904" s="175"/>
    </row>
    <row r="905" spans="1:27" s="176" customFormat="1" hidden="1">
      <c r="A905" s="1104"/>
      <c r="B905" s="2464" t="e">
        <f>LEFT(#REF!,5)</f>
        <v>#REF!</v>
      </c>
      <c r="C905" s="2504" t="e">
        <f>VLOOKUP(LEFT(#REF!,5),'11 - FINANCEIRA'!_xlnm.Print_Area,2,FALSE)</f>
        <v>#REF!</v>
      </c>
      <c r="D905" s="2475" t="s">
        <v>254</v>
      </c>
      <c r="E905" s="2476"/>
      <c r="F905" s="2477"/>
      <c r="G905" s="2469" t="s">
        <v>255</v>
      </c>
      <c r="H905" s="2470"/>
      <c r="I905" s="2471"/>
      <c r="J905" s="2468"/>
      <c r="K905" s="2468"/>
      <c r="L905" s="2468"/>
      <c r="M905" s="2468"/>
      <c r="N905" s="2468"/>
      <c r="O905" s="2468"/>
      <c r="P905" s="177" t="s">
        <v>256</v>
      </c>
      <c r="Q905" s="2468"/>
      <c r="R905" s="2580"/>
      <c r="S905" s="2468"/>
      <c r="T905" s="2468"/>
      <c r="U905" s="2585"/>
      <c r="V905" s="174" t="e">
        <f t="shared" si="124"/>
        <v>#REF!</v>
      </c>
      <c r="W905" s="175"/>
      <c r="X905" s="175"/>
      <c r="Y905" s="175"/>
      <c r="Z905" s="175"/>
      <c r="AA905" s="175"/>
    </row>
    <row r="906" spans="1:27" s="176" customFormat="1" ht="45" hidden="1">
      <c r="A906" s="1104"/>
      <c r="B906" s="178"/>
      <c r="C906" s="337" t="s">
        <v>368</v>
      </c>
      <c r="D906" s="419"/>
      <c r="E906" s="420"/>
      <c r="F906" s="583"/>
      <c r="G906" s="422"/>
      <c r="H906" s="423"/>
      <c r="I906" s="424"/>
      <c r="J906" s="425"/>
      <c r="K906" s="556">
        <f>(G906-D906)*20+I906-F906</f>
        <v>0</v>
      </c>
      <c r="L906" s="425"/>
      <c r="M906" s="425"/>
      <c r="N906" s="425"/>
      <c r="O906" s="550"/>
      <c r="P906" s="550"/>
      <c r="Q906" s="425"/>
      <c r="R906" s="515">
        <v>0</v>
      </c>
      <c r="S906" s="426" t="s">
        <v>168</v>
      </c>
      <c r="T906" s="427"/>
      <c r="U906" s="490" t="s">
        <v>369</v>
      </c>
      <c r="V906" s="174" t="e">
        <f>#REF!</f>
        <v>#REF!</v>
      </c>
      <c r="W906" s="175"/>
      <c r="X906" s="175"/>
      <c r="Y906" s="175"/>
      <c r="Z906" s="175"/>
      <c r="AA906" s="175"/>
    </row>
    <row r="907" spans="1:27" s="222" customFormat="1" hidden="1">
      <c r="A907" s="1105"/>
      <c r="B907" s="206"/>
      <c r="C907" s="287"/>
      <c r="D907" s="288"/>
      <c r="E907" s="289"/>
      <c r="F907" s="290"/>
      <c r="G907" s="288"/>
      <c r="H907" s="289"/>
      <c r="I907" s="290"/>
      <c r="J907" s="201"/>
      <c r="K907" s="291"/>
      <c r="L907" s="291"/>
      <c r="M907" s="291"/>
      <c r="N907" s="291"/>
      <c r="O907" s="292"/>
      <c r="P907" s="291"/>
      <c r="Q907" s="292"/>
      <c r="R907" s="218"/>
      <c r="S907" s="293"/>
      <c r="T907" s="204"/>
      <c r="U907" s="221"/>
      <c r="V907" s="174">
        <f t="shared" si="124"/>
        <v>0</v>
      </c>
    </row>
    <row r="908" spans="1:27" s="222" customFormat="1" hidden="1">
      <c r="A908" s="1105"/>
      <c r="B908" s="223"/>
      <c r="C908" s="224"/>
      <c r="D908" s="225"/>
      <c r="E908" s="226"/>
      <c r="F908" s="227"/>
      <c r="G908" s="225"/>
      <c r="H908" s="226"/>
      <c r="I908" s="227"/>
      <c r="J908" s="228"/>
      <c r="K908" s="229"/>
      <c r="L908" s="230"/>
      <c r="M908" s="231"/>
      <c r="N908" s="232"/>
      <c r="O908" s="233"/>
      <c r="P908" s="230"/>
      <c r="Q908" s="234"/>
      <c r="R908" s="235"/>
      <c r="S908" s="236"/>
      <c r="T908" s="294"/>
      <c r="U908" s="238"/>
      <c r="V908" s="174">
        <f t="shared" si="124"/>
        <v>0</v>
      </c>
    </row>
    <row r="909" spans="1:27" s="40" customFormat="1" hidden="1">
      <c r="A909" s="1106"/>
      <c r="B909" s="246"/>
      <c r="C909" s="240"/>
      <c r="D909" s="2527" t="s">
        <v>257</v>
      </c>
      <c r="E909" s="2528"/>
      <c r="F909" s="2528"/>
      <c r="G909" s="2528"/>
      <c r="H909" s="2528"/>
      <c r="I909" s="2529"/>
      <c r="J909" s="2488">
        <f>VLOOKUP(A911,'11 - FINANCEIRA'!_xlnm.Print_Area,30,FALSE)</f>
        <v>2619.2800000000002</v>
      </c>
      <c r="K909" s="2489"/>
      <c r="L909" s="309" t="str">
        <f>VLOOKUP(A911,'11 - FINANCEIRA'!_xlnm.Print_Area,4,FALSE)</f>
        <v>T</v>
      </c>
      <c r="M909" s="2556" t="s">
        <v>258</v>
      </c>
      <c r="N909" s="2557"/>
      <c r="O909" s="2557"/>
      <c r="P909" s="2557"/>
      <c r="Q909" s="2558"/>
      <c r="R909" s="248">
        <f>SUM(R906:R908)</f>
        <v>0</v>
      </c>
      <c r="S909" s="310" t="str">
        <f>L909</f>
        <v>T</v>
      </c>
      <c r="T909" s="244"/>
      <c r="U909" s="245"/>
      <c r="V909" s="174">
        <f t="shared" si="124"/>
        <v>0</v>
      </c>
    </row>
    <row r="910" spans="1:27" s="40" customFormat="1" hidden="1">
      <c r="A910" s="1106"/>
      <c r="B910" s="246"/>
      <c r="C910" s="247"/>
      <c r="D910" s="2521" t="s">
        <v>259</v>
      </c>
      <c r="E910" s="2522"/>
      <c r="F910" s="2522"/>
      <c r="G910" s="2522"/>
      <c r="H910" s="2522"/>
      <c r="I910" s="2523"/>
      <c r="J910" s="2515">
        <f>R909/J909</f>
        <v>0</v>
      </c>
      <c r="K910" s="2516"/>
      <c r="L910" s="2554"/>
      <c r="M910" s="2556" t="s">
        <v>260</v>
      </c>
      <c r="N910" s="2557"/>
      <c r="O910" s="2557"/>
      <c r="P910" s="2557"/>
      <c r="Q910" s="2558"/>
      <c r="R910" s="248">
        <f>VLOOKUP(A911,'11 - FINANCEIRA'!_xlnm.Print_Area,8,FALSE)</f>
        <v>0</v>
      </c>
      <c r="S910" s="249" t="str">
        <f>L909</f>
        <v>T</v>
      </c>
      <c r="T910" s="244"/>
      <c r="U910" s="245"/>
      <c r="V910" s="174">
        <f t="shared" si="124"/>
        <v>0</v>
      </c>
    </row>
    <row r="911" spans="1:27" s="40" customFormat="1" hidden="1">
      <c r="A911" s="1106" t="s">
        <v>73</v>
      </c>
      <c r="B911" s="246"/>
      <c r="C911" s="240"/>
      <c r="D911" s="2524"/>
      <c r="E911" s="2525"/>
      <c r="F911" s="2525"/>
      <c r="G911" s="2525"/>
      <c r="H911" s="2525"/>
      <c r="I911" s="2526"/>
      <c r="J911" s="2519"/>
      <c r="K911" s="2520"/>
      <c r="L911" s="2570"/>
      <c r="M911" s="2574" t="s">
        <v>261</v>
      </c>
      <c r="N911" s="2575"/>
      <c r="O911" s="2575"/>
      <c r="P911" s="2575"/>
      <c r="Q911" s="2576"/>
      <c r="R911" s="251">
        <f>R909-R910</f>
        <v>0</v>
      </c>
      <c r="S911" s="252" t="str">
        <f>L909</f>
        <v>T</v>
      </c>
      <c r="T911" s="244"/>
      <c r="U911" s="245"/>
      <c r="V911" s="174">
        <f>R911</f>
        <v>0</v>
      </c>
    </row>
    <row r="912" spans="1:27" s="40" customFormat="1" hidden="1">
      <c r="A912" s="1106"/>
      <c r="B912" s="311"/>
      <c r="C912" s="312"/>
      <c r="D912" s="313"/>
      <c r="E912" s="314"/>
      <c r="F912" s="313"/>
      <c r="G912" s="313"/>
      <c r="H912" s="313"/>
      <c r="I912" s="313"/>
      <c r="J912" s="315"/>
      <c r="K912" s="316"/>
      <c r="L912" s="317"/>
      <c r="M912" s="318"/>
      <c r="N912" s="318"/>
      <c r="O912" s="318"/>
      <c r="P912" s="318"/>
      <c r="Q912" s="318"/>
      <c r="R912" s="319"/>
      <c r="S912" s="320"/>
      <c r="T912" s="321"/>
      <c r="U912" s="322"/>
      <c r="V912" s="265" t="e">
        <f>SUM(V904:V911)</f>
        <v>#REF!</v>
      </c>
    </row>
    <row r="913" spans="1:27" s="176" customFormat="1">
      <c r="A913" s="1106"/>
      <c r="B913" s="2463">
        <f>VLOOKUP(A923,'11 - FINANCEIRA'!_xlnm.Print_Area,2,FALSE)</f>
        <v>4011549</v>
      </c>
      <c r="C913" s="2503" t="str">
        <f>VLOOKUP(A923,'11 - FINANCEIRA'!_xlnm.Print_Area,3,FALSE)</f>
        <v>Base ou sub-base de brita graduada executada com vibroacabadora - brita comercial</v>
      </c>
      <c r="D913" s="2472" t="s">
        <v>242</v>
      </c>
      <c r="E913" s="2473"/>
      <c r="F913" s="2473"/>
      <c r="G913" s="2473"/>
      <c r="H913" s="2473"/>
      <c r="I913" s="2474"/>
      <c r="J913" s="2467" t="s">
        <v>243</v>
      </c>
      <c r="K913" s="2467" t="s">
        <v>244</v>
      </c>
      <c r="L913" s="2467" t="s">
        <v>245</v>
      </c>
      <c r="M913" s="2467" t="s">
        <v>246</v>
      </c>
      <c r="N913" s="2467" t="s">
        <v>247</v>
      </c>
      <c r="O913" s="2467" t="s">
        <v>248</v>
      </c>
      <c r="P913" s="173" t="s">
        <v>249</v>
      </c>
      <c r="Q913" s="2467" t="s">
        <v>250</v>
      </c>
      <c r="R913" s="2579" t="s">
        <v>139</v>
      </c>
      <c r="S913" s="2467" t="s">
        <v>251</v>
      </c>
      <c r="T913" s="2467" t="s">
        <v>252</v>
      </c>
      <c r="U913" s="2584" t="s">
        <v>253</v>
      </c>
      <c r="V913" s="174">
        <f t="shared" ref="V913:V922" si="125">V914</f>
        <v>0</v>
      </c>
      <c r="W913" s="175"/>
      <c r="X913" s="175"/>
      <c r="Y913" s="175"/>
      <c r="Z913" s="175"/>
      <c r="AA913" s="175"/>
    </row>
    <row r="914" spans="1:27" s="176" customFormat="1">
      <c r="A914" s="1106"/>
      <c r="B914" s="2464" t="e">
        <f>LEFT(#REF!,5)</f>
        <v>#REF!</v>
      </c>
      <c r="C914" s="2504" t="e">
        <f>VLOOKUP(LEFT(#REF!,5),'11 - FINANCEIRA'!_xlnm.Print_Area,2,FALSE)</f>
        <v>#REF!</v>
      </c>
      <c r="D914" s="2475" t="s">
        <v>254</v>
      </c>
      <c r="E914" s="2476"/>
      <c r="F914" s="2477"/>
      <c r="G914" s="2469" t="s">
        <v>255</v>
      </c>
      <c r="H914" s="2470"/>
      <c r="I914" s="2471"/>
      <c r="J914" s="2468"/>
      <c r="K914" s="2468"/>
      <c r="L914" s="2468"/>
      <c r="M914" s="2468"/>
      <c r="N914" s="2468"/>
      <c r="O914" s="2468"/>
      <c r="P914" s="177" t="s">
        <v>256</v>
      </c>
      <c r="Q914" s="2468"/>
      <c r="R914" s="2580"/>
      <c r="S914" s="2468"/>
      <c r="T914" s="2468"/>
      <c r="U914" s="2585"/>
      <c r="V914" s="174">
        <f t="shared" si="125"/>
        <v>0</v>
      </c>
      <c r="W914" s="175"/>
      <c r="X914" s="175"/>
      <c r="Y914" s="175"/>
      <c r="Z914" s="175"/>
      <c r="AA914" s="175"/>
    </row>
    <row r="915" spans="1:27" s="176" customFormat="1">
      <c r="A915" s="1110"/>
      <c r="B915" s="296"/>
      <c r="C915" s="339" t="s">
        <v>620</v>
      </c>
      <c r="D915" s="496">
        <v>9</v>
      </c>
      <c r="E915" s="606" t="s">
        <v>299</v>
      </c>
      <c r="F915" s="498">
        <v>0</v>
      </c>
      <c r="G915" s="496">
        <v>9</v>
      </c>
      <c r="H915" s="606" t="s">
        <v>299</v>
      </c>
      <c r="I915" s="498">
        <v>0</v>
      </c>
      <c r="J915" s="546"/>
      <c r="K915" s="546">
        <f>SUM(8.15+8.15)/2</f>
        <v>8.15</v>
      </c>
      <c r="L915" s="614">
        <f>SUM(11.6+10.85)/2</f>
        <v>11.225</v>
      </c>
      <c r="M915" s="357">
        <v>0.15</v>
      </c>
      <c r="N915" s="834"/>
      <c r="O915" s="546">
        <f>K915*L915*M915</f>
        <v>13.7225625</v>
      </c>
      <c r="P915" s="619"/>
      <c r="Q915" s="546"/>
      <c r="R915" s="616">
        <f>O915</f>
        <v>13.7225625</v>
      </c>
      <c r="S915" s="357" t="s">
        <v>164</v>
      </c>
      <c r="T915" s="355">
        <v>15</v>
      </c>
      <c r="U915" s="559" t="s">
        <v>625</v>
      </c>
      <c r="V915" s="306"/>
      <c r="W915" s="175"/>
      <c r="X915" s="175"/>
      <c r="Y915" s="175"/>
      <c r="Z915" s="175"/>
      <c r="AA915" s="175"/>
    </row>
    <row r="916" spans="1:27" s="176" customFormat="1">
      <c r="A916" s="1110"/>
      <c r="B916" s="296"/>
      <c r="C916" s="339" t="s">
        <v>782</v>
      </c>
      <c r="D916" s="496">
        <v>19</v>
      </c>
      <c r="E916" s="606" t="s">
        <v>299</v>
      </c>
      <c r="F916" s="498">
        <v>7</v>
      </c>
      <c r="G916" s="496">
        <v>20</v>
      </c>
      <c r="H916" s="606" t="s">
        <v>299</v>
      </c>
      <c r="I916" s="498">
        <v>6</v>
      </c>
      <c r="J916" s="546"/>
      <c r="K916" s="558">
        <f>((G916-D916)*20+I916-F916)</f>
        <v>19</v>
      </c>
      <c r="L916" s="614">
        <v>8.6</v>
      </c>
      <c r="M916" s="357">
        <v>0.34</v>
      </c>
      <c r="N916" s="834"/>
      <c r="O916" s="546">
        <f>K916*L916*M916</f>
        <v>55.556000000000004</v>
      </c>
      <c r="P916" s="619"/>
      <c r="Q916" s="546"/>
      <c r="R916" s="616">
        <f>O916</f>
        <v>55.556000000000004</v>
      </c>
      <c r="S916" s="357" t="s">
        <v>164</v>
      </c>
      <c r="T916" s="355">
        <v>22</v>
      </c>
      <c r="U916" s="559" t="s">
        <v>869</v>
      </c>
      <c r="V916" s="306"/>
      <c r="W916" s="175"/>
      <c r="X916" s="175"/>
      <c r="Y916" s="175"/>
      <c r="Z916" s="175"/>
      <c r="AA916" s="175"/>
    </row>
    <row r="917" spans="1:27" s="765" customFormat="1">
      <c r="A917" s="1771"/>
      <c r="B917" s="296"/>
      <c r="C917" s="339" t="s">
        <v>1145</v>
      </c>
      <c r="D917" s="496">
        <v>19</v>
      </c>
      <c r="E917" s="606" t="s">
        <v>299</v>
      </c>
      <c r="F917" s="498">
        <v>7</v>
      </c>
      <c r="G917" s="496">
        <v>20</v>
      </c>
      <c r="H917" s="606" t="s">
        <v>299</v>
      </c>
      <c r="I917" s="498">
        <v>6</v>
      </c>
      <c r="J917" s="546"/>
      <c r="K917" s="558">
        <f>((G917-D917)*20+I917-F917)</f>
        <v>19</v>
      </c>
      <c r="L917" s="614">
        <v>8.6</v>
      </c>
      <c r="M917" s="357">
        <v>0.15</v>
      </c>
      <c r="N917" s="834"/>
      <c r="O917" s="546">
        <f>K917*L917*M917</f>
        <v>24.51</v>
      </c>
      <c r="P917" s="619"/>
      <c r="Q917" s="546"/>
      <c r="R917" s="616">
        <f>O917</f>
        <v>24.51</v>
      </c>
      <c r="S917" s="357" t="s">
        <v>164</v>
      </c>
      <c r="T917" s="355">
        <v>27</v>
      </c>
      <c r="U917" s="559" t="s">
        <v>1115</v>
      </c>
      <c r="V917" s="713"/>
      <c r="W917" s="688"/>
      <c r="X917" s="688"/>
      <c r="Y917" s="688"/>
      <c r="Z917" s="688"/>
      <c r="AA917" s="688"/>
    </row>
    <row r="918" spans="1:27" s="765" customFormat="1">
      <c r="A918" s="1771"/>
      <c r="B918" s="1490"/>
      <c r="C918" s="1491" t="s">
        <v>1189</v>
      </c>
      <c r="D918" s="1240">
        <v>33</v>
      </c>
      <c r="E918" s="1241" t="s">
        <v>299</v>
      </c>
      <c r="F918" s="1242">
        <v>14</v>
      </c>
      <c r="G918" s="1240">
        <v>34</v>
      </c>
      <c r="H918" s="1241" t="s">
        <v>299</v>
      </c>
      <c r="I918" s="1242">
        <v>12</v>
      </c>
      <c r="J918" s="1492"/>
      <c r="K918" s="1408">
        <v>22</v>
      </c>
      <c r="L918" s="1408">
        <v>9.1999999999999993</v>
      </c>
      <c r="M918" s="1493">
        <v>0.15</v>
      </c>
      <c r="N918" s="1494"/>
      <c r="O918" s="1492">
        <f>K918*L918*M918</f>
        <v>30.359999999999996</v>
      </c>
      <c r="P918" s="1495"/>
      <c r="Q918" s="1492"/>
      <c r="R918" s="1496">
        <f>O918</f>
        <v>30.359999999999996</v>
      </c>
      <c r="S918" s="1493" t="s">
        <v>164</v>
      </c>
      <c r="T918" s="1497">
        <v>28</v>
      </c>
      <c r="U918" s="1498" t="s">
        <v>1115</v>
      </c>
      <c r="V918" s="713"/>
      <c r="W918" s="688"/>
      <c r="X918" s="688"/>
      <c r="Y918" s="688"/>
      <c r="Z918" s="688"/>
      <c r="AA918" s="688"/>
    </row>
    <row r="919" spans="1:27" s="765" customFormat="1" hidden="1">
      <c r="A919" s="1111"/>
      <c r="B919" s="1172"/>
      <c r="C919" s="1640"/>
      <c r="D919" s="1214"/>
      <c r="E919" s="2129"/>
      <c r="F919" s="1215"/>
      <c r="G919" s="1214"/>
      <c r="H919" s="2129"/>
      <c r="I919" s="1215"/>
      <c r="J919" s="1644"/>
      <c r="K919" s="2130"/>
      <c r="L919" s="2130"/>
      <c r="M919" s="1739"/>
      <c r="N919" s="1738"/>
      <c r="O919" s="1644"/>
      <c r="P919" s="2131"/>
      <c r="Q919" s="1644"/>
      <c r="R919" s="1219"/>
      <c r="S919" s="1739"/>
      <c r="T919" s="2132"/>
      <c r="U919" s="2133"/>
      <c r="V919" s="713"/>
      <c r="W919" s="688"/>
      <c r="X919" s="688"/>
      <c r="Y919" s="688"/>
      <c r="Z919" s="688"/>
      <c r="AA919" s="688"/>
    </row>
    <row r="920" spans="1:27" s="765" customFormat="1">
      <c r="A920" s="1771"/>
      <c r="B920" s="2239"/>
      <c r="C920" s="2240"/>
      <c r="D920" s="2241"/>
      <c r="E920" s="2242"/>
      <c r="F920" s="2243"/>
      <c r="G920" s="2241"/>
      <c r="H920" s="2242"/>
      <c r="I920" s="2243"/>
      <c r="J920" s="2244"/>
      <c r="K920" s="2245"/>
      <c r="L920" s="2245"/>
      <c r="M920" s="2246"/>
      <c r="N920" s="2247"/>
      <c r="O920" s="2244"/>
      <c r="P920" s="2248"/>
      <c r="Q920" s="2244"/>
      <c r="R920" s="2249"/>
      <c r="S920" s="2246"/>
      <c r="T920" s="2250"/>
      <c r="U920" s="2251"/>
      <c r="V920" s="713"/>
      <c r="W920" s="688"/>
      <c r="X920" s="688"/>
      <c r="Y920" s="688"/>
      <c r="Z920" s="688"/>
      <c r="AA920" s="688"/>
    </row>
    <row r="921" spans="1:27" s="40" customFormat="1">
      <c r="A921" s="1106"/>
      <c r="B921" s="1123"/>
      <c r="C921" s="240"/>
      <c r="D921" s="2539" t="s">
        <v>257</v>
      </c>
      <c r="E921" s="2540"/>
      <c r="F921" s="2540"/>
      <c r="G921" s="2540"/>
      <c r="H921" s="2540"/>
      <c r="I921" s="2541"/>
      <c r="J921" s="2488">
        <f>VLOOKUP(A923,'11 - FINANCEIRA'!$A$16:$AE$156,30,FALSE)</f>
        <v>132.97999999999999</v>
      </c>
      <c r="K921" s="2489"/>
      <c r="L921" s="241" t="str">
        <f>VLOOKUP(A923,'11 - FINANCEIRA'!_xlnm.Print_Area,4,FALSE)</f>
        <v>m³</v>
      </c>
      <c r="M921" s="2646" t="s">
        <v>258</v>
      </c>
      <c r="N921" s="2647"/>
      <c r="O921" s="2647"/>
      <c r="P921" s="2647"/>
      <c r="Q921" s="2648"/>
      <c r="R921" s="242">
        <f>SUM(R915:R918)</f>
        <v>124.14856250000001</v>
      </c>
      <c r="S921" s="243" t="str">
        <f>L921</f>
        <v>m³</v>
      </c>
      <c r="T921" s="244"/>
      <c r="U921" s="1124"/>
      <c r="V921" s="174">
        <f t="shared" si="125"/>
        <v>30.36</v>
      </c>
    </row>
    <row r="922" spans="1:27" s="40" customFormat="1">
      <c r="A922" s="1106"/>
      <c r="B922" s="1123"/>
      <c r="C922" s="2182"/>
      <c r="D922" s="2521" t="s">
        <v>259</v>
      </c>
      <c r="E922" s="2522"/>
      <c r="F922" s="2522"/>
      <c r="G922" s="2522"/>
      <c r="H922" s="2522"/>
      <c r="I922" s="2523"/>
      <c r="J922" s="2515">
        <f>R921/J921</f>
        <v>0.93358822755301563</v>
      </c>
      <c r="K922" s="2516"/>
      <c r="L922" s="2554"/>
      <c r="M922" s="2556" t="s">
        <v>260</v>
      </c>
      <c r="N922" s="2557"/>
      <c r="O922" s="2557"/>
      <c r="P922" s="2557"/>
      <c r="Q922" s="2558"/>
      <c r="R922" s="248">
        <f>VLOOKUP(A923,'11 - FINANCEIRA'!_xlnm.Print_Area,8,FALSE)</f>
        <v>93.788562500000012</v>
      </c>
      <c r="S922" s="249" t="str">
        <f>L921</f>
        <v>m³</v>
      </c>
      <c r="T922" s="244"/>
      <c r="U922" s="1124"/>
      <c r="V922" s="174">
        <f t="shared" si="125"/>
        <v>30.36</v>
      </c>
    </row>
    <row r="923" spans="1:27" s="40" customFormat="1">
      <c r="A923" s="1106" t="s">
        <v>74</v>
      </c>
      <c r="B923" s="250"/>
      <c r="C923" s="598"/>
      <c r="D923" s="2539"/>
      <c r="E923" s="2540"/>
      <c r="F923" s="2540"/>
      <c r="G923" s="2540"/>
      <c r="H923" s="2540"/>
      <c r="I923" s="2541"/>
      <c r="J923" s="2517"/>
      <c r="K923" s="2518"/>
      <c r="L923" s="2555"/>
      <c r="M923" s="2556" t="s">
        <v>261</v>
      </c>
      <c r="N923" s="2557"/>
      <c r="O923" s="2557"/>
      <c r="P923" s="2557"/>
      <c r="Q923" s="2558"/>
      <c r="R923" s="248">
        <f>R921-R922</f>
        <v>30.36</v>
      </c>
      <c r="S923" s="249" t="str">
        <f>L921</f>
        <v>m³</v>
      </c>
      <c r="T923" s="562"/>
      <c r="U923" s="563"/>
      <c r="V923" s="174">
        <f>R923</f>
        <v>30.36</v>
      </c>
    </row>
    <row r="924" spans="1:27" s="40" customFormat="1" hidden="1">
      <c r="A924" s="1106"/>
      <c r="B924" s="2087"/>
      <c r="C924" s="2088"/>
      <c r="D924" s="2089"/>
      <c r="E924" s="2090"/>
      <c r="F924" s="2089"/>
      <c r="G924" s="2089"/>
      <c r="H924" s="2089"/>
      <c r="I924" s="2089"/>
      <c r="J924" s="2091"/>
      <c r="K924" s="2092"/>
      <c r="L924" s="2093"/>
      <c r="M924" s="2094"/>
      <c r="N924" s="2094"/>
      <c r="O924" s="2094"/>
      <c r="P924" s="2094"/>
      <c r="Q924" s="2094"/>
      <c r="R924" s="2095"/>
      <c r="S924" s="2096"/>
      <c r="T924" s="244"/>
      <c r="U924" s="1124"/>
      <c r="V924" s="265">
        <f>SUM(V913:V923)</f>
        <v>91.08</v>
      </c>
    </row>
    <row r="925" spans="1:27" s="176" customFormat="1">
      <c r="A925" s="1106"/>
      <c r="B925" s="2463" t="str">
        <f>VLOOKUP(A933,'11 - FINANCEIRA'!_xlnm.Print_Area,1,FALSE)</f>
        <v>3.1.9</v>
      </c>
      <c r="C925" s="2644" t="str">
        <f>VLOOKUP(A933,'11 - FINANCEIRA'!_xlnm.Print_Area,3,FALSE)</f>
        <v>Execução de pavimento com aplicação de concreto asfáltico camada de rolamento - Exclusive carga e transporte AF_11/2019</v>
      </c>
      <c r="D925" s="2472" t="s">
        <v>242</v>
      </c>
      <c r="E925" s="2473"/>
      <c r="F925" s="2473"/>
      <c r="G925" s="2473"/>
      <c r="H925" s="2473"/>
      <c r="I925" s="2474"/>
      <c r="J925" s="2467" t="s">
        <v>139</v>
      </c>
      <c r="K925" s="2467" t="s">
        <v>244</v>
      </c>
      <c r="L925" s="2467" t="s">
        <v>245</v>
      </c>
      <c r="M925" s="2467" t="s">
        <v>246</v>
      </c>
      <c r="N925" s="2467" t="s">
        <v>247</v>
      </c>
      <c r="O925" s="2467" t="s">
        <v>248</v>
      </c>
      <c r="P925" s="173" t="s">
        <v>249</v>
      </c>
      <c r="Q925" s="2467" t="s">
        <v>250</v>
      </c>
      <c r="R925" s="2579" t="s">
        <v>139</v>
      </c>
      <c r="S925" s="2467" t="s">
        <v>251</v>
      </c>
      <c r="T925" s="2467" t="s">
        <v>252</v>
      </c>
      <c r="U925" s="2584" t="s">
        <v>253</v>
      </c>
      <c r="V925" s="174">
        <f t="shared" ref="V925:V932" si="126">V926</f>
        <v>0</v>
      </c>
      <c r="W925" s="175"/>
      <c r="X925" s="175"/>
      <c r="Y925" s="175"/>
      <c r="Z925" s="175"/>
      <c r="AA925" s="175"/>
    </row>
    <row r="926" spans="1:27" s="176" customFormat="1" ht="34.15" customHeight="1">
      <c r="A926" s="1106"/>
      <c r="B926" s="2464" t="e">
        <f>LEFT(#REF!,5)</f>
        <v>#REF!</v>
      </c>
      <c r="C926" s="2645" t="e">
        <f>VLOOKUP(LEFT(#REF!,5),'11 - FINANCEIRA'!_xlnm.Print_Area,2,FALSE)</f>
        <v>#REF!</v>
      </c>
      <c r="D926" s="2475" t="s">
        <v>254</v>
      </c>
      <c r="E926" s="2476"/>
      <c r="F926" s="2477"/>
      <c r="G926" s="2469" t="s">
        <v>255</v>
      </c>
      <c r="H926" s="2470"/>
      <c r="I926" s="2471"/>
      <c r="J926" s="2468"/>
      <c r="K926" s="2468"/>
      <c r="L926" s="2468"/>
      <c r="M926" s="2468"/>
      <c r="N926" s="2468"/>
      <c r="O926" s="2468"/>
      <c r="P926" s="177" t="s">
        <v>256</v>
      </c>
      <c r="Q926" s="2468"/>
      <c r="R926" s="2580"/>
      <c r="S926" s="2468"/>
      <c r="T926" s="2468"/>
      <c r="U926" s="2585"/>
      <c r="V926" s="174">
        <f t="shared" si="126"/>
        <v>0</v>
      </c>
      <c r="W926" s="175"/>
      <c r="X926" s="175"/>
      <c r="Y926" s="175"/>
      <c r="Z926" s="175"/>
      <c r="AA926" s="175"/>
    </row>
    <row r="927" spans="1:27" s="765" customFormat="1">
      <c r="A927" s="1771"/>
      <c r="B927" s="1490"/>
      <c r="C927" s="1491" t="s">
        <v>1189</v>
      </c>
      <c r="D927" s="1240">
        <v>33</v>
      </c>
      <c r="E927" s="1241" t="s">
        <v>299</v>
      </c>
      <c r="F927" s="1242">
        <v>14</v>
      </c>
      <c r="G927" s="1240">
        <v>34</v>
      </c>
      <c r="H927" s="1241" t="s">
        <v>299</v>
      </c>
      <c r="I927" s="1242">
        <v>12</v>
      </c>
      <c r="J927" s="1492"/>
      <c r="K927" s="1408">
        <v>22</v>
      </c>
      <c r="L927" s="1408">
        <v>9.1999999999999993</v>
      </c>
      <c r="M927" s="1493">
        <v>8.5000000000000006E-2</v>
      </c>
      <c r="N927" s="1494">
        <f>K927*L927</f>
        <v>202.39999999999998</v>
      </c>
      <c r="O927" s="1492">
        <f>K927*L927*M927</f>
        <v>17.204000000000001</v>
      </c>
      <c r="P927" s="1495"/>
      <c r="Q927" s="1492"/>
      <c r="R927" s="1496">
        <f>O927</f>
        <v>17.204000000000001</v>
      </c>
      <c r="S927" s="1728" t="str">
        <f>S931</f>
        <v>m³</v>
      </c>
      <c r="T927" s="1497">
        <v>28</v>
      </c>
      <c r="U927" s="1498" t="s">
        <v>1115</v>
      </c>
      <c r="V927" s="713"/>
      <c r="W927" s="688"/>
      <c r="X927" s="688"/>
      <c r="Y927" s="688"/>
      <c r="Z927" s="688"/>
      <c r="AA927" s="688"/>
    </row>
    <row r="928" spans="1:27" s="176" customFormat="1" hidden="1">
      <c r="A928" s="1104"/>
      <c r="B928" s="682"/>
      <c r="C928" s="2022"/>
      <c r="D928" s="2023"/>
      <c r="E928" s="279"/>
      <c r="F928" s="2024"/>
      <c r="G928" s="2134"/>
      <c r="H928" s="2135"/>
      <c r="I928" s="2136"/>
      <c r="J928" s="2025"/>
      <c r="K928" s="2023"/>
      <c r="L928" s="2025"/>
      <c r="M928" s="2024"/>
      <c r="N928" s="279"/>
      <c r="O928" s="2023"/>
      <c r="P928" s="2026"/>
      <c r="Q928" s="2024"/>
      <c r="R928" s="2027"/>
      <c r="S928" s="2025"/>
      <c r="T928" s="2028"/>
      <c r="U928" s="2137"/>
      <c r="V928" s="174">
        <f t="shared" si="126"/>
        <v>17.204000000000001</v>
      </c>
      <c r="W928" s="175"/>
      <c r="X928" s="175"/>
      <c r="Y928" s="175"/>
      <c r="Z928" s="175"/>
      <c r="AA928" s="175"/>
    </row>
    <row r="929" spans="1:27" s="222" customFormat="1" hidden="1">
      <c r="A929" s="1105"/>
      <c r="B929" s="442"/>
      <c r="C929" s="1289"/>
      <c r="D929" s="1645"/>
      <c r="E929" s="1646"/>
      <c r="F929" s="1647"/>
      <c r="G929" s="1645"/>
      <c r="H929" s="1646"/>
      <c r="I929" s="1647"/>
      <c r="J929" s="747"/>
      <c r="K929" s="1648"/>
      <c r="L929" s="1648"/>
      <c r="M929" s="1648"/>
      <c r="N929" s="1648"/>
      <c r="O929" s="1651"/>
      <c r="P929" s="1648"/>
      <c r="Q929" s="1651"/>
      <c r="R929" s="1650"/>
      <c r="S929" s="1649"/>
      <c r="T929" s="750"/>
      <c r="U929" s="2021"/>
      <c r="V929" s="174">
        <f t="shared" si="126"/>
        <v>17.204000000000001</v>
      </c>
    </row>
    <row r="930" spans="1:27" s="222" customFormat="1">
      <c r="A930" s="1106"/>
      <c r="B930" s="1700"/>
      <c r="C930" s="1701"/>
      <c r="D930" s="2202"/>
      <c r="E930" s="2203"/>
      <c r="F930" s="2204"/>
      <c r="G930" s="2202"/>
      <c r="H930" s="2203"/>
      <c r="I930" s="2204"/>
      <c r="J930" s="2205"/>
      <c r="K930" s="2216"/>
      <c r="L930" s="2206"/>
      <c r="M930" s="2217"/>
      <c r="N930" s="2218"/>
      <c r="O930" s="2219"/>
      <c r="P930" s="2206"/>
      <c r="Q930" s="2220"/>
      <c r="R930" s="2208"/>
      <c r="S930" s="2207"/>
      <c r="T930" s="2209"/>
      <c r="U930" s="2210"/>
      <c r="V930" s="174">
        <f t="shared" si="126"/>
        <v>17.204000000000001</v>
      </c>
    </row>
    <row r="931" spans="1:27" s="40" customFormat="1">
      <c r="A931" s="1106"/>
      <c r="B931" s="1123"/>
      <c r="C931" s="240"/>
      <c r="D931" s="2527" t="s">
        <v>257</v>
      </c>
      <c r="E931" s="2528"/>
      <c r="F931" s="2528"/>
      <c r="G931" s="2528"/>
      <c r="H931" s="2528"/>
      <c r="I931" s="2529"/>
      <c r="J931" s="2488">
        <f>VLOOKUP(A933,'11 - FINANCEIRA'!_xlnm.Print_Area,30,FALSE)</f>
        <v>68.72</v>
      </c>
      <c r="K931" s="2489"/>
      <c r="L931" s="309" t="str">
        <f>VLOOKUP(A933,'11 - FINANCEIRA'!_xlnm.Print_Area,4,FALSE)</f>
        <v>m³</v>
      </c>
      <c r="M931" s="2556" t="s">
        <v>258</v>
      </c>
      <c r="N931" s="2557"/>
      <c r="O931" s="2557"/>
      <c r="P931" s="2557"/>
      <c r="Q931" s="2558"/>
      <c r="R931" s="248">
        <f>SUM(R927:R930)</f>
        <v>17.204000000000001</v>
      </c>
      <c r="S931" s="310" t="str">
        <f>L931</f>
        <v>m³</v>
      </c>
      <c r="T931" s="244"/>
      <c r="U931" s="1124"/>
      <c r="V931" s="174">
        <f t="shared" si="126"/>
        <v>17.204000000000001</v>
      </c>
    </row>
    <row r="932" spans="1:27" s="40" customFormat="1">
      <c r="A932" s="1106"/>
      <c r="B932" s="1123"/>
      <c r="C932" s="2182"/>
      <c r="D932" s="2521" t="s">
        <v>259</v>
      </c>
      <c r="E932" s="2522"/>
      <c r="F932" s="2522"/>
      <c r="G932" s="2522"/>
      <c r="H932" s="2522"/>
      <c r="I932" s="2523"/>
      <c r="J932" s="2515">
        <f>R931/J931</f>
        <v>0.25034924330616998</v>
      </c>
      <c r="K932" s="2516"/>
      <c r="L932" s="2554"/>
      <c r="M932" s="2556" t="s">
        <v>260</v>
      </c>
      <c r="N932" s="2557"/>
      <c r="O932" s="2557"/>
      <c r="P932" s="2557"/>
      <c r="Q932" s="2558"/>
      <c r="R932" s="248">
        <f>VLOOKUP(A933,'11 - FINANCEIRA'!_xlnm.Print_Area,8,FALSE)</f>
        <v>0</v>
      </c>
      <c r="S932" s="249" t="str">
        <f>L931</f>
        <v>m³</v>
      </c>
      <c r="T932" s="244"/>
      <c r="U932" s="1124"/>
      <c r="V932" s="174">
        <f t="shared" si="126"/>
        <v>17.204000000000001</v>
      </c>
    </row>
    <row r="933" spans="1:27" s="40" customFormat="1">
      <c r="A933" s="1106" t="s">
        <v>75</v>
      </c>
      <c r="B933" s="250"/>
      <c r="C933" s="598"/>
      <c r="D933" s="2539"/>
      <c r="E933" s="2540"/>
      <c r="F933" s="2540"/>
      <c r="G933" s="2540"/>
      <c r="H933" s="2540"/>
      <c r="I933" s="2541"/>
      <c r="J933" s="2517"/>
      <c r="K933" s="2518"/>
      <c r="L933" s="2555"/>
      <c r="M933" s="2556" t="s">
        <v>261</v>
      </c>
      <c r="N933" s="2557"/>
      <c r="O933" s="2557"/>
      <c r="P933" s="2557"/>
      <c r="Q933" s="2558"/>
      <c r="R933" s="248">
        <f>R931-R932</f>
        <v>17.204000000000001</v>
      </c>
      <c r="S933" s="249" t="str">
        <f>L931</f>
        <v>m³</v>
      </c>
      <c r="T933" s="562"/>
      <c r="U933" s="563"/>
      <c r="V933" s="174">
        <f>R933</f>
        <v>17.204000000000001</v>
      </c>
    </row>
    <row r="934" spans="1:27" s="40" customFormat="1" hidden="1">
      <c r="A934" s="1106"/>
      <c r="B934" s="2087"/>
      <c r="C934" s="2088"/>
      <c r="D934" s="2089"/>
      <c r="E934" s="2090"/>
      <c r="F934" s="2089"/>
      <c r="G934" s="2089"/>
      <c r="H934" s="2089"/>
      <c r="I934" s="2089"/>
      <c r="J934" s="2091"/>
      <c r="K934" s="2092"/>
      <c r="L934" s="2093"/>
      <c r="M934" s="2094"/>
      <c r="N934" s="2094"/>
      <c r="O934" s="2094"/>
      <c r="P934" s="2094"/>
      <c r="Q934" s="2094"/>
      <c r="R934" s="2095"/>
      <c r="S934" s="2096"/>
      <c r="T934" s="244"/>
      <c r="U934" s="1124"/>
      <c r="V934" s="265">
        <f>SUM(V925:V933)</f>
        <v>103.22400000000002</v>
      </c>
    </row>
    <row r="935" spans="1:27" s="176" customFormat="1">
      <c r="A935" s="1106"/>
      <c r="B935" s="2463" t="str">
        <f>VLOOKUP(A942,'11 - FINANCEIRA'!_xlnm.Print_Area,1,FALSE)</f>
        <v>3.1.10</v>
      </c>
      <c r="C935" s="2503" t="str">
        <f>VLOOKUP(A942,'11 - FINANCEIRA'!_xlnm.Print_Area,3,FALSE)</f>
        <v>Imprimação com emulsão asfáltica</v>
      </c>
      <c r="D935" s="2472" t="s">
        <v>242</v>
      </c>
      <c r="E935" s="2473"/>
      <c r="F935" s="2473"/>
      <c r="G935" s="2473"/>
      <c r="H935" s="2473"/>
      <c r="I935" s="2474"/>
      <c r="J935" s="2467" t="s">
        <v>243</v>
      </c>
      <c r="K935" s="2467" t="s">
        <v>244</v>
      </c>
      <c r="L935" s="2467" t="s">
        <v>245</v>
      </c>
      <c r="M935" s="2467" t="s">
        <v>246</v>
      </c>
      <c r="N935" s="2467" t="s">
        <v>247</v>
      </c>
      <c r="O935" s="2467" t="s">
        <v>248</v>
      </c>
      <c r="P935" s="173" t="s">
        <v>249</v>
      </c>
      <c r="Q935" s="2467" t="s">
        <v>250</v>
      </c>
      <c r="R935" s="2579" t="s">
        <v>139</v>
      </c>
      <c r="S935" s="2467" t="s">
        <v>251</v>
      </c>
      <c r="T935" s="2467" t="s">
        <v>252</v>
      </c>
      <c r="U935" s="2584" t="s">
        <v>253</v>
      </c>
      <c r="V935" s="174">
        <f t="shared" ref="V935:V941" si="127">V936</f>
        <v>0</v>
      </c>
      <c r="W935" s="175"/>
      <c r="X935" s="175"/>
      <c r="Y935" s="175"/>
      <c r="Z935" s="175"/>
      <c r="AA935" s="175"/>
    </row>
    <row r="936" spans="1:27" s="176" customFormat="1">
      <c r="A936" s="1106"/>
      <c r="B936" s="2464" t="e">
        <f>LEFT(#REF!,5)</f>
        <v>#REF!</v>
      </c>
      <c r="C936" s="2504" t="e">
        <f>VLOOKUP(LEFT(#REF!,5),'11 - FINANCEIRA'!_xlnm.Print_Area,2,FALSE)</f>
        <v>#REF!</v>
      </c>
      <c r="D936" s="2475" t="s">
        <v>254</v>
      </c>
      <c r="E936" s="2476"/>
      <c r="F936" s="2477"/>
      <c r="G936" s="2469" t="s">
        <v>255</v>
      </c>
      <c r="H936" s="2470"/>
      <c r="I936" s="2471"/>
      <c r="J936" s="2468"/>
      <c r="K936" s="2468"/>
      <c r="L936" s="2468"/>
      <c r="M936" s="2468"/>
      <c r="N936" s="2468"/>
      <c r="O936" s="2468"/>
      <c r="P936" s="177" t="s">
        <v>256</v>
      </c>
      <c r="Q936" s="2468"/>
      <c r="R936" s="2580"/>
      <c r="S936" s="2468"/>
      <c r="T936" s="2468"/>
      <c r="U936" s="2585"/>
      <c r="V936" s="174">
        <f t="shared" si="127"/>
        <v>0</v>
      </c>
      <c r="W936" s="175"/>
      <c r="X936" s="175"/>
      <c r="Y936" s="175"/>
      <c r="Z936" s="175"/>
      <c r="AA936" s="175"/>
    </row>
    <row r="937" spans="1:27" s="765" customFormat="1">
      <c r="A937" s="1771"/>
      <c r="B937" s="1490"/>
      <c r="C937" s="1491" t="s">
        <v>1190</v>
      </c>
      <c r="D937" s="1240">
        <v>33</v>
      </c>
      <c r="E937" s="1241" t="s">
        <v>299</v>
      </c>
      <c r="F937" s="1242">
        <v>14</v>
      </c>
      <c r="G937" s="1240">
        <v>34</v>
      </c>
      <c r="H937" s="1241" t="s">
        <v>299</v>
      </c>
      <c r="I937" s="1242">
        <v>12</v>
      </c>
      <c r="J937" s="1492"/>
      <c r="K937" s="1408">
        <v>22</v>
      </c>
      <c r="L937" s="1408">
        <v>9.1999999999999993</v>
      </c>
      <c r="M937" s="1493"/>
      <c r="N937" s="1494">
        <f>K937*L937</f>
        <v>202.39999999999998</v>
      </c>
      <c r="O937" s="1492"/>
      <c r="P937" s="1495"/>
      <c r="Q937" s="1492"/>
      <c r="R937" s="1496">
        <f>N937</f>
        <v>202.39999999999998</v>
      </c>
      <c r="S937" s="1493" t="s">
        <v>151</v>
      </c>
      <c r="T937" s="1497">
        <v>28</v>
      </c>
      <c r="U937" s="1498" t="s">
        <v>1115</v>
      </c>
      <c r="V937" s="713"/>
      <c r="W937" s="688"/>
      <c r="X937" s="688"/>
      <c r="Y937" s="688"/>
      <c r="Z937" s="688"/>
      <c r="AA937" s="688"/>
    </row>
    <row r="938" spans="1:27" s="176" customFormat="1" hidden="1">
      <c r="A938" s="1104"/>
      <c r="B938" s="2097"/>
      <c r="C938" s="2022"/>
      <c r="D938" s="2023"/>
      <c r="E938" s="279"/>
      <c r="F938" s="2024"/>
      <c r="G938" s="2134"/>
      <c r="H938" s="2135"/>
      <c r="I938" s="2136"/>
      <c r="J938" s="2025"/>
      <c r="K938" s="2023"/>
      <c r="L938" s="2025"/>
      <c r="M938" s="2024"/>
      <c r="N938" s="279"/>
      <c r="O938" s="2023"/>
      <c r="P938" s="2026"/>
      <c r="Q938" s="2024"/>
      <c r="R938" s="2027"/>
      <c r="S938" s="2025"/>
      <c r="T938" s="2028"/>
      <c r="U938" s="2099"/>
      <c r="V938" s="174" t="e">
        <f>#REF!</f>
        <v>#REF!</v>
      </c>
      <c r="W938" s="175"/>
      <c r="X938" s="175"/>
      <c r="Y938" s="175"/>
      <c r="Z938" s="175"/>
      <c r="AA938" s="175"/>
    </row>
    <row r="939" spans="1:27" s="222" customFormat="1">
      <c r="A939" s="1106"/>
      <c r="B939" s="1700"/>
      <c r="C939" s="1701"/>
      <c r="D939" s="2202"/>
      <c r="E939" s="2203"/>
      <c r="F939" s="2204"/>
      <c r="G939" s="2202"/>
      <c r="H939" s="2203"/>
      <c r="I939" s="2204"/>
      <c r="J939" s="2205"/>
      <c r="K939" s="2216"/>
      <c r="L939" s="2206"/>
      <c r="M939" s="2217"/>
      <c r="N939" s="2218"/>
      <c r="O939" s="2219"/>
      <c r="P939" s="2206"/>
      <c r="Q939" s="2220"/>
      <c r="R939" s="2208"/>
      <c r="S939" s="2207"/>
      <c r="T939" s="2209"/>
      <c r="U939" s="2210"/>
      <c r="V939" s="174">
        <f t="shared" si="127"/>
        <v>202.39999999999998</v>
      </c>
    </row>
    <row r="940" spans="1:27" s="40" customFormat="1">
      <c r="A940" s="1106"/>
      <c r="B940" s="1123"/>
      <c r="C940" s="240"/>
      <c r="D940" s="2527" t="s">
        <v>257</v>
      </c>
      <c r="E940" s="2528"/>
      <c r="F940" s="2528"/>
      <c r="G940" s="2528"/>
      <c r="H940" s="2528"/>
      <c r="I940" s="2529"/>
      <c r="J940" s="2488">
        <f>VLOOKUP(A942,'11 - FINANCEIRA'!_xlnm.Print_Area,30,FALSE)</f>
        <v>1374.44</v>
      </c>
      <c r="K940" s="2489"/>
      <c r="L940" s="309" t="str">
        <f>VLOOKUP(A942,'11 - FINANCEIRA'!_xlnm.Print_Area,4,FALSE)</f>
        <v>m²</v>
      </c>
      <c r="M940" s="2556" t="s">
        <v>258</v>
      </c>
      <c r="N940" s="2557"/>
      <c r="O940" s="2557"/>
      <c r="P940" s="2557"/>
      <c r="Q940" s="2558"/>
      <c r="R940" s="248">
        <f>SUM(R937:R939)</f>
        <v>202.39999999999998</v>
      </c>
      <c r="S940" s="310" t="str">
        <f>L940</f>
        <v>m²</v>
      </c>
      <c r="T940" s="244"/>
      <c r="U940" s="1124"/>
      <c r="V940" s="174">
        <f t="shared" si="127"/>
        <v>202.39999999999998</v>
      </c>
    </row>
    <row r="941" spans="1:27" s="40" customFormat="1">
      <c r="A941" s="1106"/>
      <c r="B941" s="1123"/>
      <c r="C941" s="2182"/>
      <c r="D941" s="2521" t="s">
        <v>259</v>
      </c>
      <c r="E941" s="2522"/>
      <c r="F941" s="2522"/>
      <c r="G941" s="2522"/>
      <c r="H941" s="2522"/>
      <c r="I941" s="2523"/>
      <c r="J941" s="2515">
        <f>R940/J940</f>
        <v>0.1472599749716248</v>
      </c>
      <c r="K941" s="2516"/>
      <c r="L941" s="2554"/>
      <c r="M941" s="2556" t="s">
        <v>260</v>
      </c>
      <c r="N941" s="2557"/>
      <c r="O941" s="2557"/>
      <c r="P941" s="2557"/>
      <c r="Q941" s="2558"/>
      <c r="R941" s="248">
        <f>VLOOKUP(A942,'11 - FINANCEIRA'!_xlnm.Print_Area,8,FALSE)</f>
        <v>0</v>
      </c>
      <c r="S941" s="249" t="str">
        <f>L940</f>
        <v>m²</v>
      </c>
      <c r="T941" s="244"/>
      <c r="U941" s="1124"/>
      <c r="V941" s="174">
        <f t="shared" si="127"/>
        <v>202.39999999999998</v>
      </c>
    </row>
    <row r="942" spans="1:27" s="40" customFormat="1">
      <c r="A942" s="1106" t="s">
        <v>76</v>
      </c>
      <c r="B942" s="250"/>
      <c r="C942" s="598"/>
      <c r="D942" s="2539"/>
      <c r="E942" s="2540"/>
      <c r="F942" s="2540"/>
      <c r="G942" s="2540"/>
      <c r="H942" s="2540"/>
      <c r="I942" s="2541"/>
      <c r="J942" s="2517"/>
      <c r="K942" s="2518"/>
      <c r="L942" s="2555"/>
      <c r="M942" s="2556" t="s">
        <v>261</v>
      </c>
      <c r="N942" s="2557"/>
      <c r="O942" s="2557"/>
      <c r="P942" s="2557"/>
      <c r="Q942" s="2558"/>
      <c r="R942" s="248">
        <f>R940-R941</f>
        <v>202.39999999999998</v>
      </c>
      <c r="S942" s="249" t="str">
        <f>L940</f>
        <v>m²</v>
      </c>
      <c r="T942" s="562"/>
      <c r="U942" s="563"/>
      <c r="V942" s="174">
        <f>R942</f>
        <v>202.39999999999998</v>
      </c>
    </row>
    <row r="943" spans="1:27" s="40" customFormat="1" hidden="1">
      <c r="A943" s="1106"/>
      <c r="B943" s="2087"/>
      <c r="C943" s="2088"/>
      <c r="D943" s="2089"/>
      <c r="E943" s="2090"/>
      <c r="F943" s="2089"/>
      <c r="G943" s="2089"/>
      <c r="H943" s="2089"/>
      <c r="I943" s="2089"/>
      <c r="J943" s="2091"/>
      <c r="K943" s="2092"/>
      <c r="L943" s="2093"/>
      <c r="M943" s="2094"/>
      <c r="N943" s="2094"/>
      <c r="O943" s="2094"/>
      <c r="P943" s="2094"/>
      <c r="Q943" s="2094"/>
      <c r="R943" s="2095"/>
      <c r="S943" s="2096"/>
      <c r="T943" s="244"/>
      <c r="U943" s="1124"/>
      <c r="V943" s="265" t="e">
        <f>SUM(V935:V942)</f>
        <v>#REF!</v>
      </c>
    </row>
    <row r="944" spans="1:27" s="176" customFormat="1">
      <c r="A944" s="1106"/>
      <c r="B944" s="2463" t="str">
        <f>VLOOKUP(A952,'11 - FINANCEIRA'!_xlnm.Print_Area,1,FALSE)</f>
        <v>3.1.11</v>
      </c>
      <c r="C944" s="2503" t="str">
        <f>VLOOKUP(A952,'11 - FINANCEIRA'!_xlnm.Print_Area,3,FALSE)</f>
        <v>Emulsão Asfáltica para Imprimação (EAI), fornecimento - BDI = 14,02</v>
      </c>
      <c r="D944" s="2472" t="s">
        <v>242</v>
      </c>
      <c r="E944" s="2473"/>
      <c r="F944" s="2473"/>
      <c r="G944" s="2473"/>
      <c r="H944" s="2473"/>
      <c r="I944" s="2474"/>
      <c r="J944" s="2467" t="s">
        <v>243</v>
      </c>
      <c r="K944" s="2467" t="s">
        <v>244</v>
      </c>
      <c r="L944" s="2467" t="s">
        <v>245</v>
      </c>
      <c r="M944" s="2467" t="s">
        <v>246</v>
      </c>
      <c r="N944" s="2467" t="s">
        <v>247</v>
      </c>
      <c r="O944" s="2467" t="s">
        <v>248</v>
      </c>
      <c r="P944" s="173" t="s">
        <v>249</v>
      </c>
      <c r="Q944" s="2467" t="s">
        <v>250</v>
      </c>
      <c r="R944" s="2579" t="s">
        <v>139</v>
      </c>
      <c r="S944" s="2467" t="s">
        <v>251</v>
      </c>
      <c r="T944" s="2467" t="s">
        <v>252</v>
      </c>
      <c r="U944" s="2584" t="s">
        <v>253</v>
      </c>
      <c r="V944" s="174">
        <f t="shared" ref="V944:V951" si="128">V945</f>
        <v>0</v>
      </c>
      <c r="W944" s="175"/>
      <c r="X944" s="175"/>
      <c r="Y944" s="175"/>
      <c r="Z944" s="175"/>
      <c r="AA944" s="175"/>
    </row>
    <row r="945" spans="1:27" s="176" customFormat="1">
      <c r="A945" s="1106"/>
      <c r="B945" s="2464" t="e">
        <f>LEFT(#REF!,5)</f>
        <v>#REF!</v>
      </c>
      <c r="C945" s="2504" t="e">
        <f>VLOOKUP(LEFT(#REF!,5),'11 - FINANCEIRA'!_xlnm.Print_Area,2,FALSE)</f>
        <v>#REF!</v>
      </c>
      <c r="D945" s="2475" t="s">
        <v>254</v>
      </c>
      <c r="E945" s="2476"/>
      <c r="F945" s="2477"/>
      <c r="G945" s="2469" t="s">
        <v>255</v>
      </c>
      <c r="H945" s="2470"/>
      <c r="I945" s="2471"/>
      <c r="J945" s="2468"/>
      <c r="K945" s="2468"/>
      <c r="L945" s="2468"/>
      <c r="M945" s="2468"/>
      <c r="N945" s="2468"/>
      <c r="O945" s="2468"/>
      <c r="P945" s="177" t="s">
        <v>256</v>
      </c>
      <c r="Q945" s="2468"/>
      <c r="R945" s="2580"/>
      <c r="S945" s="2468"/>
      <c r="T945" s="2468"/>
      <c r="U945" s="2585"/>
      <c r="V945" s="174">
        <f t="shared" si="128"/>
        <v>0</v>
      </c>
      <c r="W945" s="175"/>
      <c r="X945" s="175"/>
      <c r="Y945" s="175"/>
      <c r="Z945" s="175"/>
      <c r="AA945" s="175"/>
    </row>
    <row r="946" spans="1:27" s="765" customFormat="1">
      <c r="A946" s="1771"/>
      <c r="B946" s="1490"/>
      <c r="C946" s="1491" t="s">
        <v>1190</v>
      </c>
      <c r="D946" s="1240">
        <v>33</v>
      </c>
      <c r="E946" s="1241" t="s">
        <v>299</v>
      </c>
      <c r="F946" s="1242">
        <v>14</v>
      </c>
      <c r="G946" s="1240">
        <v>34</v>
      </c>
      <c r="H946" s="1241" t="s">
        <v>299</v>
      </c>
      <c r="I946" s="1242">
        <v>12</v>
      </c>
      <c r="J946" s="1492"/>
      <c r="K946" s="1408">
        <v>22</v>
      </c>
      <c r="L946" s="1408">
        <v>9.1999999999999993</v>
      </c>
      <c r="M946" s="1493"/>
      <c r="N946" s="1494">
        <f>K946*L946</f>
        <v>202.39999999999998</v>
      </c>
      <c r="O946" s="1492"/>
      <c r="P946" s="1495">
        <v>8.0000000000000004E-4</v>
      </c>
      <c r="Q946" s="1492"/>
      <c r="R946" s="1496">
        <f>P946*N946</f>
        <v>0.16191999999999998</v>
      </c>
      <c r="S946" s="1493" t="s">
        <v>214</v>
      </c>
      <c r="T946" s="1497">
        <v>28</v>
      </c>
      <c r="U946" s="1498" t="s">
        <v>1115</v>
      </c>
      <c r="V946" s="713"/>
      <c r="W946" s="688"/>
      <c r="X946" s="688"/>
      <c r="Y946" s="688"/>
      <c r="Z946" s="688"/>
      <c r="AA946" s="688"/>
    </row>
    <row r="947" spans="1:27" s="176" customFormat="1" hidden="1">
      <c r="A947" s="1104"/>
      <c r="B947" s="682"/>
      <c r="C947" s="2022"/>
      <c r="D947" s="2023"/>
      <c r="E947" s="279"/>
      <c r="F947" s="2024"/>
      <c r="G947" s="2134"/>
      <c r="H947" s="2135"/>
      <c r="I947" s="2136"/>
      <c r="J947" s="2025"/>
      <c r="K947" s="2023"/>
      <c r="L947" s="2025"/>
      <c r="M947" s="2024"/>
      <c r="N947" s="279"/>
      <c r="O947" s="2023"/>
      <c r="P947" s="2026"/>
      <c r="Q947" s="2024"/>
      <c r="R947" s="2027"/>
      <c r="S947" s="2025"/>
      <c r="T947" s="2028"/>
      <c r="U947" s="2137"/>
      <c r="V947" s="174">
        <f t="shared" si="128"/>
        <v>0.16191999999999998</v>
      </c>
      <c r="W947" s="175"/>
      <c r="X947" s="175"/>
      <c r="Y947" s="175"/>
      <c r="Z947" s="175"/>
      <c r="AA947" s="175"/>
    </row>
    <row r="948" spans="1:27" s="222" customFormat="1" hidden="1">
      <c r="A948" s="1105"/>
      <c r="B948" s="442"/>
      <c r="C948" s="1289"/>
      <c r="D948" s="1645"/>
      <c r="E948" s="1646"/>
      <c r="F948" s="1647"/>
      <c r="G948" s="1645"/>
      <c r="H948" s="1646"/>
      <c r="I948" s="1647"/>
      <c r="J948" s="747"/>
      <c r="K948" s="1648"/>
      <c r="L948" s="1648"/>
      <c r="M948" s="1648"/>
      <c r="N948" s="1648"/>
      <c r="O948" s="1651"/>
      <c r="P948" s="1648"/>
      <c r="Q948" s="1651"/>
      <c r="R948" s="1650"/>
      <c r="S948" s="1649"/>
      <c r="T948" s="750"/>
      <c r="U948" s="2021"/>
      <c r="V948" s="174">
        <f t="shared" si="128"/>
        <v>0.16191999999999998</v>
      </c>
    </row>
    <row r="949" spans="1:27" s="222" customFormat="1">
      <c r="A949" s="1106"/>
      <c r="B949" s="1700"/>
      <c r="C949" s="1701"/>
      <c r="D949" s="2202"/>
      <c r="E949" s="2203"/>
      <c r="F949" s="2204"/>
      <c r="G949" s="2202"/>
      <c r="H949" s="2203"/>
      <c r="I949" s="2204"/>
      <c r="J949" s="2205"/>
      <c r="K949" s="2216"/>
      <c r="L949" s="2206"/>
      <c r="M949" s="2217"/>
      <c r="N949" s="2218"/>
      <c r="O949" s="2219"/>
      <c r="P949" s="2206"/>
      <c r="Q949" s="2220"/>
      <c r="R949" s="2208"/>
      <c r="S949" s="2207"/>
      <c r="T949" s="2209"/>
      <c r="U949" s="2210"/>
      <c r="V949" s="174">
        <f t="shared" si="128"/>
        <v>0.16191999999999998</v>
      </c>
    </row>
    <row r="950" spans="1:27" s="40" customFormat="1">
      <c r="A950" s="1106"/>
      <c r="B950" s="1123"/>
      <c r="C950" s="240"/>
      <c r="D950" s="2527" t="s">
        <v>257</v>
      </c>
      <c r="E950" s="2528"/>
      <c r="F950" s="2528"/>
      <c r="G950" s="2528"/>
      <c r="H950" s="2528"/>
      <c r="I950" s="2529"/>
      <c r="J950" s="2488">
        <f>VLOOKUP(A952,'11 - FINANCEIRA'!_xlnm.Print_Area,30,FALSE)</f>
        <v>1.1000000000000001</v>
      </c>
      <c r="K950" s="2489"/>
      <c r="L950" s="309" t="str">
        <f>VLOOKUP(A952,'11 - FINANCEIRA'!_xlnm.Print_Area,4,FALSE)</f>
        <v>t</v>
      </c>
      <c r="M950" s="2556" t="s">
        <v>258</v>
      </c>
      <c r="N950" s="2557"/>
      <c r="O950" s="2557"/>
      <c r="P950" s="2557"/>
      <c r="Q950" s="2558"/>
      <c r="R950" s="248">
        <f>SUM(R946:R949)</f>
        <v>0.16191999999999998</v>
      </c>
      <c r="S950" s="310" t="str">
        <f>L950</f>
        <v>t</v>
      </c>
      <c r="T950" s="244"/>
      <c r="U950" s="1124"/>
      <c r="V950" s="174">
        <f t="shared" si="128"/>
        <v>0.16191999999999998</v>
      </c>
    </row>
    <row r="951" spans="1:27" s="40" customFormat="1">
      <c r="A951" s="1106"/>
      <c r="B951" s="1123"/>
      <c r="C951" s="2182"/>
      <c r="D951" s="2521" t="s">
        <v>259</v>
      </c>
      <c r="E951" s="2522"/>
      <c r="F951" s="2522"/>
      <c r="G951" s="2522"/>
      <c r="H951" s="2522"/>
      <c r="I951" s="2523"/>
      <c r="J951" s="2515">
        <f>R950/J950</f>
        <v>0.14719999999999997</v>
      </c>
      <c r="K951" s="2516"/>
      <c r="L951" s="2554"/>
      <c r="M951" s="2556" t="s">
        <v>260</v>
      </c>
      <c r="N951" s="2557"/>
      <c r="O951" s="2557"/>
      <c r="P951" s="2557"/>
      <c r="Q951" s="2558"/>
      <c r="R951" s="248">
        <f>VLOOKUP(A952,'11 - FINANCEIRA'!_xlnm.Print_Area,8,FALSE)</f>
        <v>0</v>
      </c>
      <c r="S951" s="249" t="str">
        <f>L950</f>
        <v>t</v>
      </c>
      <c r="T951" s="244"/>
      <c r="U951" s="1124"/>
      <c r="V951" s="174">
        <f t="shared" si="128"/>
        <v>0.16191999999999998</v>
      </c>
    </row>
    <row r="952" spans="1:27" s="40" customFormat="1">
      <c r="A952" s="1106" t="s">
        <v>77</v>
      </c>
      <c r="B952" s="250"/>
      <c r="C952" s="598"/>
      <c r="D952" s="2539"/>
      <c r="E952" s="2540"/>
      <c r="F952" s="2540"/>
      <c r="G952" s="2540"/>
      <c r="H952" s="2540"/>
      <c r="I952" s="2541"/>
      <c r="J952" s="2517"/>
      <c r="K952" s="2518"/>
      <c r="L952" s="2555"/>
      <c r="M952" s="2556" t="s">
        <v>261</v>
      </c>
      <c r="N952" s="2557"/>
      <c r="O952" s="2557"/>
      <c r="P952" s="2557"/>
      <c r="Q952" s="2558"/>
      <c r="R952" s="248">
        <f>R950-R951</f>
        <v>0.16191999999999998</v>
      </c>
      <c r="S952" s="249" t="str">
        <f>L950</f>
        <v>t</v>
      </c>
      <c r="T952" s="562"/>
      <c r="U952" s="563"/>
      <c r="V952" s="174">
        <f>R952</f>
        <v>0.16191999999999998</v>
      </c>
    </row>
    <row r="953" spans="1:27" s="40" customFormat="1" hidden="1">
      <c r="A953" s="1106"/>
      <c r="B953" s="2087"/>
      <c r="C953" s="2088"/>
      <c r="D953" s="2089"/>
      <c r="E953" s="2090"/>
      <c r="F953" s="2089"/>
      <c r="G953" s="2089"/>
      <c r="H953" s="2089"/>
      <c r="I953" s="2089"/>
      <c r="J953" s="2091"/>
      <c r="K953" s="2092"/>
      <c r="L953" s="2093"/>
      <c r="M953" s="2094"/>
      <c r="N953" s="2094"/>
      <c r="O953" s="2094"/>
      <c r="P953" s="2094"/>
      <c r="Q953" s="2094"/>
      <c r="R953" s="2095"/>
      <c r="S953" s="2096"/>
      <c r="T953" s="244"/>
      <c r="U953" s="1124"/>
      <c r="V953" s="265">
        <f>SUM(V944:V952)</f>
        <v>0.97151999999999983</v>
      </c>
    </row>
    <row r="954" spans="1:27" s="176" customFormat="1" ht="35.25" customHeight="1">
      <c r="A954" s="1106"/>
      <c r="B954" s="2494" t="str">
        <f>VLOOKUP(A981,'11 - FINANCEIRA'!_xlnm.Print_Area,1,FALSE)</f>
        <v>3.1.12</v>
      </c>
      <c r="C954" s="2492" t="str">
        <f>VLOOKUP(A981,'11 - FINANCEIRA'!_xlnm.Print_Area,3,FALSE)</f>
        <v>Índice de preço para remoção de entulho decorrente da execução de obras  - BDI = 14,02</v>
      </c>
      <c r="D954" s="2581" t="s">
        <v>242</v>
      </c>
      <c r="E954" s="2582"/>
      <c r="F954" s="2582"/>
      <c r="G954" s="2582"/>
      <c r="H954" s="2582"/>
      <c r="I954" s="2583"/>
      <c r="J954" s="2496" t="s">
        <v>243</v>
      </c>
      <c r="K954" s="2496" t="s">
        <v>244</v>
      </c>
      <c r="L954" s="2496" t="s">
        <v>245</v>
      </c>
      <c r="M954" s="2496" t="s">
        <v>246</v>
      </c>
      <c r="N954" s="2496" t="s">
        <v>247</v>
      </c>
      <c r="O954" s="2496" t="s">
        <v>248</v>
      </c>
      <c r="P954" s="2496" t="s">
        <v>348</v>
      </c>
      <c r="Q954" s="2496" t="s">
        <v>250</v>
      </c>
      <c r="R954" s="2577" t="s">
        <v>139</v>
      </c>
      <c r="S954" s="2496" t="s">
        <v>251</v>
      </c>
      <c r="T954" s="2496" t="s">
        <v>252</v>
      </c>
      <c r="U954" s="2586" t="s">
        <v>253</v>
      </c>
      <c r="V954" s="418">
        <f>V955</f>
        <v>-1339.7399999999998</v>
      </c>
      <c r="W954" s="175"/>
      <c r="X954" s="175"/>
      <c r="Y954" s="175"/>
      <c r="Z954" s="175"/>
      <c r="AA954" s="175"/>
    </row>
    <row r="955" spans="1:27" s="176" customFormat="1">
      <c r="A955" s="1106"/>
      <c r="B955" s="2495"/>
      <c r="C955" s="2493"/>
      <c r="D955" s="2588" t="s">
        <v>254</v>
      </c>
      <c r="E955" s="2589"/>
      <c r="F955" s="2590"/>
      <c r="G955" s="2591" t="s">
        <v>255</v>
      </c>
      <c r="H955" s="2592"/>
      <c r="I955" s="2593"/>
      <c r="J955" s="2497"/>
      <c r="K955" s="2497"/>
      <c r="L955" s="2497"/>
      <c r="M955" s="2497"/>
      <c r="N955" s="2497"/>
      <c r="O955" s="2497"/>
      <c r="P955" s="2497"/>
      <c r="Q955" s="2497"/>
      <c r="R955" s="2578"/>
      <c r="S955" s="2497"/>
      <c r="T955" s="2497"/>
      <c r="U955" s="2587"/>
      <c r="V955" s="418">
        <f>V963</f>
        <v>-1339.7399999999998</v>
      </c>
      <c r="W955" s="175"/>
      <c r="X955" s="175"/>
      <c r="Y955" s="175"/>
      <c r="Z955" s="175"/>
      <c r="AA955" s="175"/>
    </row>
    <row r="956" spans="1:27" s="176" customFormat="1" hidden="1">
      <c r="A956" s="1104"/>
      <c r="B956" s="452"/>
      <c r="C956" s="2138"/>
      <c r="D956" s="2139"/>
      <c r="E956" s="2140"/>
      <c r="F956" s="2141"/>
      <c r="G956" s="2142"/>
      <c r="H956" s="2143"/>
      <c r="I956" s="2144"/>
      <c r="J956" s="1558"/>
      <c r="K956" s="1558"/>
      <c r="L956" s="1558"/>
      <c r="M956" s="1558"/>
      <c r="N956" s="1558"/>
      <c r="O956" s="1558"/>
      <c r="P956" s="1558"/>
      <c r="Q956" s="1558"/>
      <c r="R956" s="1559"/>
      <c r="S956" s="1558"/>
      <c r="T956" s="1548">
        <v>1</v>
      </c>
      <c r="U956" s="1137"/>
      <c r="V956" s="418"/>
      <c r="W956" s="175"/>
      <c r="X956" s="175"/>
      <c r="Y956" s="175"/>
      <c r="Z956" s="175"/>
      <c r="AA956" s="175"/>
    </row>
    <row r="957" spans="1:27" s="176" customFormat="1" hidden="1">
      <c r="A957" s="1104"/>
      <c r="B957" s="296"/>
      <c r="C957" s="1529" t="s">
        <v>370</v>
      </c>
      <c r="D957" s="1519"/>
      <c r="E957" s="1520"/>
      <c r="F957" s="1521"/>
      <c r="G957" s="1522"/>
      <c r="H957" s="1523"/>
      <c r="I957" s="1524"/>
      <c r="J957" s="1525"/>
      <c r="K957" s="1525"/>
      <c r="L957" s="1525"/>
      <c r="M957" s="1525"/>
      <c r="N957" s="1525"/>
      <c r="O957" s="1525"/>
      <c r="P957" s="1525"/>
      <c r="Q957" s="1525"/>
      <c r="R957" s="1526"/>
      <c r="S957" s="1525"/>
      <c r="T957" s="1548">
        <v>2</v>
      </c>
      <c r="U957" s="341"/>
      <c r="V957" s="418"/>
      <c r="W957" s="1550">
        <v>0</v>
      </c>
      <c r="X957" s="175"/>
      <c r="Y957" s="175"/>
      <c r="Z957" s="175"/>
      <c r="AA957" s="175"/>
    </row>
    <row r="958" spans="1:27" s="176" customFormat="1" hidden="1">
      <c r="A958" s="1104"/>
      <c r="B958" s="296"/>
      <c r="C958" s="1529" t="s">
        <v>370</v>
      </c>
      <c r="D958" s="1519"/>
      <c r="E958" s="1520"/>
      <c r="F958" s="1521"/>
      <c r="G958" s="1522"/>
      <c r="H958" s="1523"/>
      <c r="I958" s="1524"/>
      <c r="J958" s="1525"/>
      <c r="K958" s="1525"/>
      <c r="L958" s="1525"/>
      <c r="M958" s="1525"/>
      <c r="N958" s="1525"/>
      <c r="O958" s="1525"/>
      <c r="P958" s="1525"/>
      <c r="Q958" s="1525"/>
      <c r="R958" s="1526"/>
      <c r="S958" s="1525"/>
      <c r="T958" s="1548">
        <v>3</v>
      </c>
      <c r="U958" s="341"/>
      <c r="V958" s="418"/>
      <c r="W958" s="1550">
        <v>830.93399999999997</v>
      </c>
      <c r="X958" s="175"/>
      <c r="Y958" s="175"/>
      <c r="Z958" s="175"/>
      <c r="AA958" s="175"/>
    </row>
    <row r="959" spans="1:27" s="176" customFormat="1" hidden="1">
      <c r="A959" s="1104"/>
      <c r="B959" s="296"/>
      <c r="C959" s="1529" t="s">
        <v>370</v>
      </c>
      <c r="D959" s="1519"/>
      <c r="E959" s="1520"/>
      <c r="F959" s="1521"/>
      <c r="G959" s="1522"/>
      <c r="H959" s="1523"/>
      <c r="I959" s="1524"/>
      <c r="J959" s="1525"/>
      <c r="K959" s="1525"/>
      <c r="L959" s="1525"/>
      <c r="M959" s="1525"/>
      <c r="N959" s="1525"/>
      <c r="O959" s="1525"/>
      <c r="P959" s="1525"/>
      <c r="Q959" s="1525"/>
      <c r="R959" s="1526"/>
      <c r="S959" s="1525"/>
      <c r="T959" s="1548">
        <v>4</v>
      </c>
      <c r="U959" s="341"/>
      <c r="V959" s="418"/>
      <c r="W959" s="1550">
        <v>-211.07499999999999</v>
      </c>
      <c r="X959" s="175"/>
      <c r="Y959" s="175"/>
      <c r="Z959" s="175"/>
      <c r="AA959" s="175"/>
    </row>
    <row r="960" spans="1:27" s="176" customFormat="1" hidden="1">
      <c r="A960" s="1104"/>
      <c r="B960" s="296"/>
      <c r="C960" s="1529" t="s">
        <v>370</v>
      </c>
      <c r="D960" s="1519"/>
      <c r="E960" s="1520"/>
      <c r="F960" s="1521"/>
      <c r="G960" s="1522"/>
      <c r="H960" s="1523"/>
      <c r="I960" s="1524"/>
      <c r="J960" s="1525"/>
      <c r="K960" s="1525"/>
      <c r="L960" s="1525"/>
      <c r="M960" s="1525"/>
      <c r="N960" s="1525"/>
      <c r="O960" s="1525"/>
      <c r="P960" s="1525"/>
      <c r="Q960" s="1525"/>
      <c r="R960" s="1553"/>
      <c r="S960" s="1525"/>
      <c r="T960" s="1548">
        <v>5</v>
      </c>
      <c r="U960" s="341"/>
      <c r="V960" s="418"/>
      <c r="W960" s="1550">
        <v>421.93200000000002</v>
      </c>
      <c r="X960" s="175"/>
      <c r="Y960" s="175"/>
      <c r="Z960" s="175"/>
      <c r="AA960" s="175"/>
    </row>
    <row r="961" spans="1:27" s="176" customFormat="1" hidden="1">
      <c r="A961" s="1104"/>
      <c r="B961" s="296"/>
      <c r="C961" s="1529" t="s">
        <v>370</v>
      </c>
      <c r="D961" s="1519"/>
      <c r="E961" s="1520"/>
      <c r="F961" s="1521"/>
      <c r="G961" s="1522"/>
      <c r="H961" s="1523"/>
      <c r="I961" s="1524"/>
      <c r="J961" s="1525"/>
      <c r="K961" s="1525"/>
      <c r="L961" s="1525"/>
      <c r="M961" s="1525"/>
      <c r="N961" s="1525"/>
      <c r="O961" s="1525"/>
      <c r="P961" s="1525"/>
      <c r="Q961" s="1525"/>
      <c r="R961" s="1553"/>
      <c r="S961" s="1525"/>
      <c r="T961" s="1548">
        <v>6</v>
      </c>
      <c r="U961" s="341"/>
      <c r="V961" s="418"/>
      <c r="W961" s="1550">
        <v>1178.4680000000001</v>
      </c>
      <c r="X961" s="175"/>
      <c r="Y961" s="175"/>
      <c r="Z961" s="175"/>
      <c r="AA961" s="175"/>
    </row>
    <row r="962" spans="1:27" s="1551" customFormat="1" hidden="1">
      <c r="A962" s="1535"/>
      <c r="B962" s="2029"/>
      <c r="C962" s="2030" t="s">
        <v>370</v>
      </c>
      <c r="D962" s="2031"/>
      <c r="E962" s="2032"/>
      <c r="F962" s="2033"/>
      <c r="G962" s="2034"/>
      <c r="H962" s="2035"/>
      <c r="I962" s="2036"/>
      <c r="J962" s="2037"/>
      <c r="K962" s="2037"/>
      <c r="L962" s="2037"/>
      <c r="M962" s="2037"/>
      <c r="N962" s="2037"/>
      <c r="O962" s="2037"/>
      <c r="P962" s="2037"/>
      <c r="Q962" s="2037"/>
      <c r="R962" s="2038"/>
      <c r="S962" s="2037"/>
      <c r="T962" s="1548">
        <v>7</v>
      </c>
      <c r="U962" s="2039"/>
      <c r="V962" s="1533"/>
      <c r="W962" s="1550">
        <v>678.697</v>
      </c>
      <c r="X962" s="1534"/>
      <c r="Y962" s="1534"/>
      <c r="Z962" s="1534"/>
      <c r="AA962" s="1534"/>
    </row>
    <row r="963" spans="1:27" s="176" customFormat="1">
      <c r="A963" s="1110"/>
      <c r="B963" s="2252"/>
      <c r="C963" s="2253" t="s">
        <v>370</v>
      </c>
      <c r="D963" s="2254">
        <v>0</v>
      </c>
      <c r="E963" s="2255" t="s">
        <v>299</v>
      </c>
      <c r="F963" s="2256">
        <v>14.04</v>
      </c>
      <c r="G963" s="2257">
        <v>11</v>
      </c>
      <c r="H963" s="2258" t="s">
        <v>299</v>
      </c>
      <c r="I963" s="2259">
        <v>10</v>
      </c>
      <c r="J963" s="2260" t="s">
        <v>300</v>
      </c>
      <c r="K963" s="2261">
        <f>(G963-D963)*20+I963-F963</f>
        <v>215.96</v>
      </c>
      <c r="L963" s="2260"/>
      <c r="M963" s="2260"/>
      <c r="N963" s="2260"/>
      <c r="O963" s="2262">
        <f>TRUNC(R821,3)</f>
        <v>3455.4189999999999</v>
      </c>
      <c r="P963" s="2263"/>
      <c r="Q963" s="2264">
        <v>0.22</v>
      </c>
      <c r="R963" s="2265">
        <v>4264.8010000000004</v>
      </c>
      <c r="S963" s="2260" t="s">
        <v>164</v>
      </c>
      <c r="T963" s="2266">
        <v>8</v>
      </c>
      <c r="U963" s="2267" t="s">
        <v>363</v>
      </c>
      <c r="V963" s="429">
        <f>V966</f>
        <v>-1339.7399999999998</v>
      </c>
      <c r="W963" s="1550">
        <v>1671.6320000000001</v>
      </c>
      <c r="X963" s="175"/>
      <c r="Y963" s="175"/>
      <c r="Z963" s="175"/>
      <c r="AA963" s="175"/>
    </row>
    <row r="964" spans="1:27" s="1551" customFormat="1" hidden="1">
      <c r="A964" s="1535"/>
      <c r="B964" s="2040"/>
      <c r="C964" s="2145" t="s">
        <v>370</v>
      </c>
      <c r="D964" s="1536"/>
      <c r="E964" s="1537"/>
      <c r="F964" s="1538"/>
      <c r="G964" s="1539"/>
      <c r="H964" s="1540"/>
      <c r="I964" s="1541"/>
      <c r="J964" s="1542"/>
      <c r="K964" s="1543"/>
      <c r="L964" s="1542"/>
      <c r="M964" s="1542"/>
      <c r="N964" s="1542"/>
      <c r="O964" s="1544"/>
      <c r="P964" s="1545"/>
      <c r="Q964" s="1546"/>
      <c r="R964" s="1547"/>
      <c r="S964" s="1542"/>
      <c r="T964" s="1548">
        <v>9</v>
      </c>
      <c r="U964" s="1549"/>
      <c r="V964" s="1533"/>
      <c r="W964" s="1550">
        <v>791.38499999999999</v>
      </c>
      <c r="X964" s="1534"/>
      <c r="Y964" s="1534"/>
      <c r="Z964" s="1534"/>
      <c r="AA964" s="1534"/>
    </row>
    <row r="965" spans="1:27" s="40" customFormat="1" ht="105">
      <c r="A965" s="1110"/>
      <c r="B965" s="2268"/>
      <c r="C965" s="959" t="s">
        <v>371</v>
      </c>
      <c r="D965" s="469">
        <v>0</v>
      </c>
      <c r="E965" s="470" t="s">
        <v>299</v>
      </c>
      <c r="F965" s="471">
        <v>0</v>
      </c>
      <c r="G965" s="472">
        <v>2</v>
      </c>
      <c r="H965" s="473" t="s">
        <v>299</v>
      </c>
      <c r="I965" s="474">
        <v>0</v>
      </c>
      <c r="J965" s="275" t="s">
        <v>300</v>
      </c>
      <c r="K965" s="489">
        <f>(G965-D965)*20+I965-F965</f>
        <v>40</v>
      </c>
      <c r="L965" s="275"/>
      <c r="M965" s="275"/>
      <c r="N965" s="275"/>
      <c r="O965" s="483">
        <f>R315-O419</f>
        <v>-15.063000000001978</v>
      </c>
      <c r="P965" s="338"/>
      <c r="Q965" s="2269">
        <v>0.28360000000000002</v>
      </c>
      <c r="R965" s="515">
        <v>664.01</v>
      </c>
      <c r="S965" s="275" t="s">
        <v>164</v>
      </c>
      <c r="T965" s="276">
        <v>10</v>
      </c>
      <c r="U965" s="1069" t="s">
        <v>549</v>
      </c>
      <c r="V965" s="829">
        <f>V966</f>
        <v>-1339.7399999999998</v>
      </c>
      <c r="W965" s="2752">
        <v>2272.65</v>
      </c>
    </row>
    <row r="966" spans="1:27" s="175" customFormat="1" ht="105">
      <c r="A966" s="1110"/>
      <c r="B966" s="594"/>
      <c r="C966" s="466" t="s">
        <v>371</v>
      </c>
      <c r="D966" s="814">
        <v>2</v>
      </c>
      <c r="E966" s="815" t="s">
        <v>299</v>
      </c>
      <c r="F966" s="816">
        <v>0</v>
      </c>
      <c r="G966" s="814">
        <v>5</v>
      </c>
      <c r="H966" s="815" t="s">
        <v>299</v>
      </c>
      <c r="I966" s="816">
        <v>0</v>
      </c>
      <c r="J966" s="392" t="s">
        <v>300</v>
      </c>
      <c r="K966" s="650">
        <f>(G966-D966)*20+I966-F966</f>
        <v>60</v>
      </c>
      <c r="L966" s="817"/>
      <c r="M966" s="817"/>
      <c r="N966" s="817"/>
      <c r="O966" s="477"/>
      <c r="P966" s="817"/>
      <c r="Q966" s="818">
        <v>0.28360000000000002</v>
      </c>
      <c r="R966" s="1578">
        <f>-(R420)</f>
        <v>-3607.4659999999999</v>
      </c>
      <c r="S966" s="340" t="s">
        <v>164</v>
      </c>
      <c r="T966" s="819">
        <v>10</v>
      </c>
      <c r="U966" s="305" t="s">
        <v>550</v>
      </c>
      <c r="V966" s="429">
        <f>V967</f>
        <v>-1339.7399999999998</v>
      </c>
      <c r="W966" s="2752"/>
    </row>
    <row r="967" spans="1:27" s="175" customFormat="1" ht="105">
      <c r="A967" s="1110"/>
      <c r="B967" s="2229"/>
      <c r="C967" s="1598" t="s">
        <v>417</v>
      </c>
      <c r="D967" s="2230">
        <v>6</v>
      </c>
      <c r="E967" s="2233" t="s">
        <v>299</v>
      </c>
      <c r="F967" s="1157">
        <v>14</v>
      </c>
      <c r="G967" s="1713">
        <v>8</v>
      </c>
      <c r="H967" s="1481" t="s">
        <v>299</v>
      </c>
      <c r="I967" s="1482">
        <v>2</v>
      </c>
      <c r="J967" s="2270" t="s">
        <v>300</v>
      </c>
      <c r="K967" s="2271">
        <f>(G967-D967)*20+I967-F967</f>
        <v>28</v>
      </c>
      <c r="L967" s="2272"/>
      <c r="M967" s="2272"/>
      <c r="N967" s="2272"/>
      <c r="O967" s="1725">
        <v>588</v>
      </c>
      <c r="P967" s="2272"/>
      <c r="Q967" s="2273">
        <v>0.28360000000000002</v>
      </c>
      <c r="R967" s="2274">
        <f>TRUNC(O967*(1+Q967),3)</f>
        <v>754.75599999999997</v>
      </c>
      <c r="S967" s="360" t="s">
        <v>164</v>
      </c>
      <c r="T967" s="2275">
        <v>11</v>
      </c>
      <c r="U967" s="2276" t="s">
        <v>551</v>
      </c>
      <c r="V967" s="429">
        <f>V979</f>
        <v>-1339.7399999999998</v>
      </c>
      <c r="W967" s="1527">
        <v>754.75599999999997</v>
      </c>
    </row>
    <row r="968" spans="1:27" s="1534" customFormat="1" ht="36" hidden="1" customHeight="1">
      <c r="A968" s="1528"/>
      <c r="B968" s="2146"/>
      <c r="C968" s="2145" t="s">
        <v>370</v>
      </c>
      <c r="D968" s="2147"/>
      <c r="E968" s="1047"/>
      <c r="F968" s="2148"/>
      <c r="G968" s="2149"/>
      <c r="H968" s="2150"/>
      <c r="I968" s="2151"/>
      <c r="J968" s="1530"/>
      <c r="K968" s="1531"/>
      <c r="L968" s="1532"/>
      <c r="M968" s="1532"/>
      <c r="N968" s="1532"/>
      <c r="O968" s="2152"/>
      <c r="P968" s="1532"/>
      <c r="Q968" s="2153"/>
      <c r="R968" s="1579"/>
      <c r="S968" s="1530"/>
      <c r="T968" s="1698">
        <v>12</v>
      </c>
      <c r="U968" s="2154"/>
      <c r="V968" s="1533"/>
      <c r="W968" s="1552">
        <v>2076.1010000000001</v>
      </c>
    </row>
    <row r="969" spans="1:27" s="176" customFormat="1" ht="45">
      <c r="A969" s="1110"/>
      <c r="B969" s="336"/>
      <c r="C969" s="266" t="s">
        <v>370</v>
      </c>
      <c r="D969" s="422">
        <v>11</v>
      </c>
      <c r="E969" s="423" t="s">
        <v>299</v>
      </c>
      <c r="F969" s="424">
        <v>10</v>
      </c>
      <c r="G969" s="422">
        <v>14</v>
      </c>
      <c r="H969" s="593" t="s">
        <v>299</v>
      </c>
      <c r="I969" s="424">
        <v>14</v>
      </c>
      <c r="J969" s="425" t="s">
        <v>300</v>
      </c>
      <c r="K969" s="548"/>
      <c r="L969" s="425"/>
      <c r="M969" s="425"/>
      <c r="N969" s="425"/>
      <c r="O969" s="550">
        <v>1680</v>
      </c>
      <c r="P969" s="514"/>
      <c r="Q969" s="2277">
        <v>0.28360000000000002</v>
      </c>
      <c r="R969" s="515">
        <f>TRUNC(O969*(1+Q969),3)</f>
        <v>2156.4479999999999</v>
      </c>
      <c r="S969" s="425" t="s">
        <v>164</v>
      </c>
      <c r="T969" s="427">
        <v>14</v>
      </c>
      <c r="U969" s="2278" t="s">
        <v>597</v>
      </c>
      <c r="V969" s="429">
        <f>V980</f>
        <v>-1339.7399999999998</v>
      </c>
      <c r="W969" s="175">
        <v>2156.4479999999999</v>
      </c>
      <c r="X969" s="175"/>
      <c r="Y969" s="175"/>
      <c r="Z969" s="175"/>
      <c r="AA969" s="175"/>
    </row>
    <row r="970" spans="1:27" s="176" customFormat="1" ht="45">
      <c r="A970" s="1110"/>
      <c r="B970" s="296"/>
      <c r="C970" s="339" t="s">
        <v>370</v>
      </c>
      <c r="D970" s="455">
        <f>G969</f>
        <v>14</v>
      </c>
      <c r="E970" s="456" t="s">
        <v>299</v>
      </c>
      <c r="F970" s="457">
        <f>I969</f>
        <v>14</v>
      </c>
      <c r="G970" s="455">
        <v>25</v>
      </c>
      <c r="H970" s="953" t="s">
        <v>299</v>
      </c>
      <c r="I970" s="457">
        <v>16</v>
      </c>
      <c r="J970" s="509" t="s">
        <v>300</v>
      </c>
      <c r="K970" s="558"/>
      <c r="L970" s="509"/>
      <c r="M970" s="509"/>
      <c r="N970" s="509"/>
      <c r="O970" s="900">
        <v>1815.13</v>
      </c>
      <c r="P970" s="536"/>
      <c r="Q970" s="901">
        <v>0.28360000000000002</v>
      </c>
      <c r="R970" s="537">
        <f>TRUNC(O970*(1+Q970),3)</f>
        <v>2329.9</v>
      </c>
      <c r="S970" s="509" t="s">
        <v>164</v>
      </c>
      <c r="T970" s="539">
        <v>16</v>
      </c>
      <c r="U970" s="468" t="s">
        <v>597</v>
      </c>
      <c r="V970" s="429">
        <f>V981</f>
        <v>-1339.7399999999998</v>
      </c>
      <c r="W970" s="175">
        <v>2329.9</v>
      </c>
      <c r="X970" s="175"/>
      <c r="Y970" s="175"/>
      <c r="Z970" s="175"/>
      <c r="AA970" s="175"/>
    </row>
    <row r="971" spans="1:27" s="176" customFormat="1" ht="45">
      <c r="A971" s="1110"/>
      <c r="B971" s="1008"/>
      <c r="C971" s="339" t="s">
        <v>370</v>
      </c>
      <c r="D971" s="455">
        <f>G970</f>
        <v>25</v>
      </c>
      <c r="E971" s="456" t="s">
        <v>299</v>
      </c>
      <c r="F971" s="457">
        <f>I970</f>
        <v>16</v>
      </c>
      <c r="G971" s="455">
        <v>31</v>
      </c>
      <c r="H971" s="953" t="s">
        <v>299</v>
      </c>
      <c r="I971" s="457">
        <v>12</v>
      </c>
      <c r="J971" s="509" t="s">
        <v>300</v>
      </c>
      <c r="K971" s="558"/>
      <c r="L971" s="509"/>
      <c r="M971" s="693"/>
      <c r="N971" s="1315">
        <f>3061.8</f>
        <v>3061.8</v>
      </c>
      <c r="O971" s="1315"/>
      <c r="P971" s="693">
        <f>P876</f>
        <v>1.71</v>
      </c>
      <c r="Q971" s="1363"/>
      <c r="R971" s="1580">
        <f t="shared" ref="R971:R977" si="129">N971/P971</f>
        <v>1790.5263157894738</v>
      </c>
      <c r="S971" s="509" t="s">
        <v>164</v>
      </c>
      <c r="T971" s="539">
        <v>23</v>
      </c>
      <c r="U971" s="468" t="s">
        <v>597</v>
      </c>
      <c r="V971" s="1180" t="s">
        <v>946</v>
      </c>
      <c r="W971" s="175">
        <v>1790.5263157894738</v>
      </c>
      <c r="X971" s="175"/>
      <c r="Y971" s="175"/>
      <c r="Z971" s="175"/>
      <c r="AA971" s="175"/>
    </row>
    <row r="972" spans="1:27" s="176" customFormat="1" ht="45">
      <c r="A972" s="1110"/>
      <c r="B972" s="1008"/>
      <c r="C972" s="339" t="s">
        <v>370</v>
      </c>
      <c r="D972" s="455">
        <f t="shared" ref="D972:I972" si="130">D880</f>
        <v>35</v>
      </c>
      <c r="E972" s="953" t="str">
        <f t="shared" si="130"/>
        <v>+</v>
      </c>
      <c r="F972" s="457">
        <f t="shared" si="130"/>
        <v>14</v>
      </c>
      <c r="G972" s="455">
        <f t="shared" si="130"/>
        <v>39</v>
      </c>
      <c r="H972" s="953" t="str">
        <f t="shared" si="130"/>
        <v>+</v>
      </c>
      <c r="I972" s="457">
        <f t="shared" si="130"/>
        <v>16</v>
      </c>
      <c r="J972" s="509" t="s">
        <v>300</v>
      </c>
      <c r="K972" s="434">
        <f>(G972-D972)*20+I972-F972</f>
        <v>82</v>
      </c>
      <c r="L972" s="509"/>
      <c r="M972" s="509"/>
      <c r="N972" s="509">
        <v>2205.59</v>
      </c>
      <c r="O972" s="900"/>
      <c r="P972" s="1367">
        <v>1.71</v>
      </c>
      <c r="Q972" s="1368"/>
      <c r="R972" s="537">
        <f t="shared" si="129"/>
        <v>1289.8187134502925</v>
      </c>
      <c r="S972" s="509" t="s">
        <v>164</v>
      </c>
      <c r="T972" s="539">
        <v>25</v>
      </c>
      <c r="U972" s="468" t="s">
        <v>597</v>
      </c>
      <c r="V972" s="1180"/>
      <c r="W972" s="175">
        <v>1289.8187134502925</v>
      </c>
      <c r="X972" s="175"/>
      <c r="Y972" s="175"/>
      <c r="Z972" s="175"/>
      <c r="AA972" s="175"/>
    </row>
    <row r="973" spans="1:27" s="176" customFormat="1" ht="45">
      <c r="A973" s="1110"/>
      <c r="B973" s="1008"/>
      <c r="C973" s="339" t="s">
        <v>370</v>
      </c>
      <c r="D973" s="455">
        <f t="shared" ref="D973:I977" si="131">D316</f>
        <v>31</v>
      </c>
      <c r="E973" s="953" t="str">
        <f t="shared" si="131"/>
        <v>+</v>
      </c>
      <c r="F973" s="457">
        <f t="shared" si="131"/>
        <v>12</v>
      </c>
      <c r="G973" s="455">
        <f t="shared" si="131"/>
        <v>35</v>
      </c>
      <c r="H973" s="953" t="str">
        <f t="shared" si="131"/>
        <v>+</v>
      </c>
      <c r="I973" s="457">
        <f t="shared" si="131"/>
        <v>14</v>
      </c>
      <c r="J973" s="509" t="s">
        <v>300</v>
      </c>
      <c r="K973" s="434">
        <f>(G973-D973)*20+I973-F973</f>
        <v>82</v>
      </c>
      <c r="L973" s="509"/>
      <c r="M973" s="509"/>
      <c r="N973" s="509">
        <v>2619.8000000000002</v>
      </c>
      <c r="O973" s="900"/>
      <c r="P973" s="1367">
        <v>1.71</v>
      </c>
      <c r="Q973" s="1368"/>
      <c r="R973" s="537">
        <f t="shared" si="129"/>
        <v>1532.0467836257312</v>
      </c>
      <c r="S973" s="509" t="s">
        <v>164</v>
      </c>
      <c r="T973" s="539">
        <v>26</v>
      </c>
      <c r="U973" s="468" t="s">
        <v>1094</v>
      </c>
      <c r="V973" s="1180"/>
      <c r="W973" s="1527">
        <v>2166.4679999999998</v>
      </c>
      <c r="X973" s="175"/>
      <c r="Y973" s="175"/>
      <c r="Z973" s="175"/>
      <c r="AA973" s="175"/>
    </row>
    <row r="974" spans="1:27" s="176" customFormat="1">
      <c r="A974" s="1110"/>
      <c r="B974" s="1008"/>
      <c r="C974" s="339" t="s">
        <v>370</v>
      </c>
      <c r="D974" s="455">
        <f t="shared" si="131"/>
        <v>39</v>
      </c>
      <c r="E974" s="953" t="str">
        <f t="shared" si="131"/>
        <v>+</v>
      </c>
      <c r="F974" s="457">
        <f t="shared" si="131"/>
        <v>16</v>
      </c>
      <c r="G974" s="455">
        <f t="shared" si="131"/>
        <v>41</v>
      </c>
      <c r="H974" s="953" t="str">
        <f t="shared" si="131"/>
        <v>+</v>
      </c>
      <c r="I974" s="457">
        <f t="shared" si="131"/>
        <v>16</v>
      </c>
      <c r="J974" s="509" t="s">
        <v>300</v>
      </c>
      <c r="K974" s="434">
        <f>(G974-D974)*20+I974-F974</f>
        <v>40</v>
      </c>
      <c r="L974" s="509"/>
      <c r="M974" s="509"/>
      <c r="N974" s="509">
        <v>1084.8599999999999</v>
      </c>
      <c r="O974" s="900"/>
      <c r="P974" s="1367">
        <v>1.71</v>
      </c>
      <c r="Q974" s="1368"/>
      <c r="R974" s="537">
        <f>N974/P974</f>
        <v>634.42105263157885</v>
      </c>
      <c r="S974" s="509" t="s">
        <v>164</v>
      </c>
      <c r="T974" s="539">
        <v>26</v>
      </c>
      <c r="U974" s="468"/>
      <c r="V974" s="1180"/>
      <c r="W974" s="1527">
        <v>988.678</v>
      </c>
      <c r="X974" s="175"/>
      <c r="Y974" s="175"/>
      <c r="Z974" s="175"/>
      <c r="AA974" s="175"/>
    </row>
    <row r="975" spans="1:27" s="176" customFormat="1">
      <c r="A975" s="1110"/>
      <c r="B975" s="1008"/>
      <c r="C975" s="339" t="s">
        <v>370</v>
      </c>
      <c r="D975" s="455">
        <f t="shared" si="131"/>
        <v>41</v>
      </c>
      <c r="E975" s="953" t="str">
        <f t="shared" si="131"/>
        <v>+</v>
      </c>
      <c r="F975" s="457">
        <f t="shared" si="131"/>
        <v>16</v>
      </c>
      <c r="G975" s="455">
        <f t="shared" si="131"/>
        <v>42</v>
      </c>
      <c r="H975" s="953" t="str">
        <f t="shared" si="131"/>
        <v>+</v>
      </c>
      <c r="I975" s="457">
        <f t="shared" si="131"/>
        <v>12</v>
      </c>
      <c r="J975" s="509" t="s">
        <v>300</v>
      </c>
      <c r="K975" s="434">
        <f>(G975-D975)*20+I975-F975</f>
        <v>16</v>
      </c>
      <c r="L975" s="509"/>
      <c r="M975" s="509"/>
      <c r="N975" s="1500">
        <v>873.18</v>
      </c>
      <c r="O975" s="900"/>
      <c r="P975" s="1367">
        <v>1.71</v>
      </c>
      <c r="Q975" s="1368"/>
      <c r="R975" s="537">
        <f t="shared" si="129"/>
        <v>510.63157894736838</v>
      </c>
      <c r="S975" s="509" t="s">
        <v>164</v>
      </c>
      <c r="T975" s="539">
        <v>27</v>
      </c>
      <c r="U975" s="1501">
        <v>45717</v>
      </c>
      <c r="V975" s="1180"/>
      <c r="W975" s="1527">
        <v>510.63157894736838</v>
      </c>
      <c r="X975" s="175"/>
      <c r="Y975" s="175"/>
      <c r="Z975" s="175"/>
      <c r="AA975" s="175"/>
    </row>
    <row r="976" spans="1:27" s="176" customFormat="1">
      <c r="A976" s="1110"/>
      <c r="B976" s="1008"/>
      <c r="C976" s="339" t="s">
        <v>370</v>
      </c>
      <c r="D976" s="455">
        <f t="shared" si="131"/>
        <v>31</v>
      </c>
      <c r="E976" s="953" t="str">
        <f t="shared" si="131"/>
        <v>+</v>
      </c>
      <c r="F976" s="457">
        <f t="shared" si="131"/>
        <v>12</v>
      </c>
      <c r="G976" s="455">
        <f t="shared" si="131"/>
        <v>37</v>
      </c>
      <c r="H976" s="953" t="str">
        <f t="shared" si="131"/>
        <v>+</v>
      </c>
      <c r="I976" s="457">
        <f t="shared" si="131"/>
        <v>12</v>
      </c>
      <c r="J976" s="509" t="s">
        <v>300</v>
      </c>
      <c r="K976" s="434"/>
      <c r="L976" s="509"/>
      <c r="M976" s="509"/>
      <c r="N976" s="1500">
        <v>552.86</v>
      </c>
      <c r="O976" s="900"/>
      <c r="P976" s="1367">
        <v>1.71</v>
      </c>
      <c r="Q976" s="1368"/>
      <c r="R976" s="537">
        <f>N976/P976</f>
        <v>323.30994152046787</v>
      </c>
      <c r="S976" s="509" t="s">
        <v>164</v>
      </c>
      <c r="T976" s="539">
        <v>27</v>
      </c>
      <c r="U976" s="1501">
        <v>45748</v>
      </c>
      <c r="V976" s="1180"/>
      <c r="W976" s="1527">
        <v>323.30994152046787</v>
      </c>
      <c r="X976" s="175"/>
      <c r="Y976" s="175"/>
      <c r="Z976" s="175"/>
      <c r="AA976" s="175"/>
    </row>
    <row r="977" spans="1:27" s="176" customFormat="1">
      <c r="A977" s="1110"/>
      <c r="B977" s="1008"/>
      <c r="C977" s="339" t="s">
        <v>370</v>
      </c>
      <c r="D977" s="455">
        <f t="shared" si="131"/>
        <v>31</v>
      </c>
      <c r="E977" s="953" t="str">
        <f t="shared" si="131"/>
        <v>+</v>
      </c>
      <c r="F977" s="457">
        <f t="shared" si="131"/>
        <v>12</v>
      </c>
      <c r="G977" s="455">
        <f t="shared" si="131"/>
        <v>42</v>
      </c>
      <c r="H977" s="953" t="str">
        <f t="shared" si="131"/>
        <v>+</v>
      </c>
      <c r="I977" s="457">
        <f t="shared" si="131"/>
        <v>2</v>
      </c>
      <c r="J977" s="509" t="s">
        <v>300</v>
      </c>
      <c r="K977" s="434"/>
      <c r="L977" s="509"/>
      <c r="M977" s="509"/>
      <c r="N977" s="1500">
        <v>264.60000000000002</v>
      </c>
      <c r="O977" s="900"/>
      <c r="P977" s="1367">
        <v>1.71</v>
      </c>
      <c r="Q977" s="1368"/>
      <c r="R977" s="537">
        <f t="shared" si="129"/>
        <v>154.73684210526318</v>
      </c>
      <c r="S977" s="509" t="s">
        <v>164</v>
      </c>
      <c r="T977" s="539">
        <v>27</v>
      </c>
      <c r="U977" s="1501">
        <v>45748</v>
      </c>
      <c r="V977" s="1180"/>
      <c r="W977" s="1527">
        <v>154.73684210526318</v>
      </c>
      <c r="X977" s="175"/>
      <c r="Y977" s="175"/>
      <c r="Z977" s="175"/>
      <c r="AA977" s="175"/>
    </row>
    <row r="978" spans="1:27" s="176" customFormat="1">
      <c r="A978" s="1110"/>
      <c r="B978" s="1665"/>
      <c r="C978" s="972"/>
      <c r="D978" s="1761"/>
      <c r="E978" s="1762"/>
      <c r="F978" s="1763"/>
      <c r="G978" s="1761"/>
      <c r="H978" s="1762"/>
      <c r="I978" s="1763"/>
      <c r="J978" s="1637"/>
      <c r="K978" s="1030"/>
      <c r="L978" s="1637"/>
      <c r="M978" s="1637"/>
      <c r="N978" s="1764">
        <v>-1339.74</v>
      </c>
      <c r="O978" s="1765"/>
      <c r="P978" s="1766">
        <v>1.71</v>
      </c>
      <c r="Q978" s="1767"/>
      <c r="R978" s="1661">
        <f>N978</f>
        <v>-1339.74</v>
      </c>
      <c r="S978" s="1637"/>
      <c r="T978" s="915">
        <v>28</v>
      </c>
      <c r="U978" s="1768" t="s">
        <v>1192</v>
      </c>
      <c r="V978" s="1180"/>
      <c r="W978" s="1527"/>
      <c r="X978" s="175"/>
      <c r="Y978" s="175"/>
      <c r="Z978" s="175"/>
      <c r="AA978" s="175"/>
    </row>
    <row r="979" spans="1:27" s="40" customFormat="1" ht="20.25">
      <c r="A979" s="1106"/>
      <c r="B979" s="645"/>
      <c r="C979" s="1614"/>
      <c r="D979" s="2548" t="s">
        <v>257</v>
      </c>
      <c r="E979" s="2549"/>
      <c r="F979" s="2549"/>
      <c r="G979" s="2549"/>
      <c r="H979" s="2549"/>
      <c r="I979" s="2550"/>
      <c r="J979" s="2490">
        <f>VLOOKUP(A981,'11 - FINANCEIRA'!$A$16:$AE$156,30,FALSE)</f>
        <v>15028.64</v>
      </c>
      <c r="K979" s="2491"/>
      <c r="L979" s="590" t="str">
        <f>VLOOKUP(A981,'11 - FINANCEIRA'!_xlnm.Print_Area,4,FALSE)</f>
        <v>m³</v>
      </c>
      <c r="M979" s="2561" t="s">
        <v>258</v>
      </c>
      <c r="N979" s="2562"/>
      <c r="O979" s="2562"/>
      <c r="P979" s="2562"/>
      <c r="Q979" s="2563"/>
      <c r="R979" s="375">
        <f>SUM(R956:R978)</f>
        <v>11458.200228070176</v>
      </c>
      <c r="S979" s="591" t="str">
        <f>L979</f>
        <v>m³</v>
      </c>
      <c r="T979" s="390"/>
      <c r="U979" s="391"/>
      <c r="V979" s="418">
        <f>V980</f>
        <v>-1339.7399999999998</v>
      </c>
      <c r="W979" s="1554">
        <f>SUM(W956:W977)</f>
        <v>22175.997391812867</v>
      </c>
    </row>
    <row r="980" spans="1:27" s="40" customFormat="1">
      <c r="A980" s="1106"/>
      <c r="B980" s="1350"/>
      <c r="C980" s="1351"/>
      <c r="D980" s="2505" t="s">
        <v>259</v>
      </c>
      <c r="E980" s="2506"/>
      <c r="F980" s="2506"/>
      <c r="G980" s="2506"/>
      <c r="H980" s="2506"/>
      <c r="I980" s="2507"/>
      <c r="J980" s="2511">
        <f>R979/J979</f>
        <v>0.76242429308774295</v>
      </c>
      <c r="K980" s="2512"/>
      <c r="L980" s="2559"/>
      <c r="M980" s="2561" t="s">
        <v>260</v>
      </c>
      <c r="N980" s="2562"/>
      <c r="O980" s="2562"/>
      <c r="P980" s="2562"/>
      <c r="Q980" s="2563"/>
      <c r="R980" s="375">
        <f>VLOOKUP(A981,'11 - FINANCEIRA'!_xlnm.Print_Area,8,FALSE)</f>
        <v>12797.940228070176</v>
      </c>
      <c r="S980" s="376" t="str">
        <f>L979</f>
        <v>m³</v>
      </c>
      <c r="T980" s="372"/>
      <c r="U980" s="1227"/>
      <c r="V980" s="418">
        <f>V981</f>
        <v>-1339.7399999999998</v>
      </c>
    </row>
    <row r="981" spans="1:27" s="40" customFormat="1">
      <c r="A981" s="1106" t="s">
        <v>78</v>
      </c>
      <c r="B981" s="647"/>
      <c r="C981" s="1352"/>
      <c r="D981" s="2551"/>
      <c r="E981" s="2552"/>
      <c r="F981" s="2552"/>
      <c r="G981" s="2552"/>
      <c r="H981" s="2552"/>
      <c r="I981" s="2553"/>
      <c r="J981" s="2530"/>
      <c r="K981" s="2531"/>
      <c r="L981" s="2560"/>
      <c r="M981" s="2561" t="s">
        <v>261</v>
      </c>
      <c r="N981" s="2562"/>
      <c r="O981" s="2562"/>
      <c r="P981" s="2562"/>
      <c r="Q981" s="2563"/>
      <c r="R981" s="375">
        <f>R979-R980</f>
        <v>-1339.7399999999998</v>
      </c>
      <c r="S981" s="376" t="str">
        <f>L979</f>
        <v>m³</v>
      </c>
      <c r="T981" s="2081"/>
      <c r="U981" s="1355"/>
      <c r="V981" s="418">
        <f>R981</f>
        <v>-1339.7399999999998</v>
      </c>
    </row>
    <row r="982" spans="1:27" s="40" customFormat="1" hidden="1">
      <c r="A982" s="1106"/>
      <c r="B982" s="2071"/>
      <c r="C982" s="2072"/>
      <c r="D982" s="2073"/>
      <c r="E982" s="2074"/>
      <c r="F982" s="2073"/>
      <c r="G982" s="2073"/>
      <c r="H982" s="2073"/>
      <c r="I982" s="2073"/>
      <c r="J982" s="2075"/>
      <c r="K982" s="2076"/>
      <c r="L982" s="2077"/>
      <c r="M982" s="2078"/>
      <c r="N982" s="2078"/>
      <c r="O982" s="2078"/>
      <c r="P982" s="2078"/>
      <c r="Q982" s="2078"/>
      <c r="R982" s="2079"/>
      <c r="S982" s="2080"/>
      <c r="T982" s="2081"/>
      <c r="U982" s="1355"/>
      <c r="V982" s="418">
        <f>SUM(V954:V981)</f>
        <v>-14737.139999999998</v>
      </c>
    </row>
    <row r="983" spans="1:27" s="326" customFormat="1" hidden="1">
      <c r="A983" s="1770"/>
      <c r="B983" s="574" t="str">
        <f>VLOOKUP(A991,'11 - FINANCEIRA'!_xlnm.Print_Area,1,FALSE)</f>
        <v>3.2</v>
      </c>
      <c r="C983" s="575" t="str">
        <f>VLOOKUP(LEFT(A991,9),'11 - FINANCEIRA'!_xlnm.Print_Area,2,FALSE)</f>
        <v>Drenagem Pluvial</v>
      </c>
      <c r="D983" s="575"/>
      <c r="E983" s="576"/>
      <c r="F983" s="575"/>
      <c r="G983" s="577"/>
      <c r="H983" s="578"/>
      <c r="I983" s="578"/>
      <c r="J983" s="579"/>
      <c r="K983" s="579"/>
      <c r="L983" s="579"/>
      <c r="M983" s="580"/>
      <c r="N983" s="581"/>
      <c r="O983" s="580"/>
      <c r="P983" s="580"/>
      <c r="Q983" s="580"/>
      <c r="R983" s="580"/>
      <c r="S983" s="580"/>
      <c r="T983" s="580"/>
      <c r="U983" s="582"/>
      <c r="V983" s="511" t="e">
        <f>SUM(V984:V1023)</f>
        <v>#REF!</v>
      </c>
    </row>
    <row r="984" spans="1:27" s="176" customFormat="1" ht="18" hidden="1" customHeight="1">
      <c r="A984" s="1106"/>
      <c r="B984" s="2494" t="str">
        <f>VLOOKUP(A992,'11 - FINANCEIRA'!_xlnm.Print_Area,2,FALSE)</f>
        <v>5199-83627</v>
      </c>
      <c r="C984" s="2501" t="str">
        <f>VLOOKUP(A992,'11 - FINANCEIRA'!_xlnm.Print_Area,3,FALSE)</f>
        <v>Tampão Fofo Articulado, Classe B125 Carga Max 12,5 T, Redondo Tampa 600 Mm, Rede Pluvial/Esgoto, P = Chamine Cx Areia / Poco Visita Assentado Com Arg Cim/Areia 1:4, Fornecimento E Assentamento</v>
      </c>
      <c r="D984" s="2581" t="s">
        <v>242</v>
      </c>
      <c r="E984" s="2582"/>
      <c r="F984" s="2582"/>
      <c r="G984" s="2582"/>
      <c r="H984" s="2582"/>
      <c r="I984" s="2583"/>
      <c r="J984" s="2496" t="s">
        <v>243</v>
      </c>
      <c r="K984" s="2496" t="s">
        <v>244</v>
      </c>
      <c r="L984" s="2496" t="s">
        <v>245</v>
      </c>
      <c r="M984" s="2496" t="s">
        <v>246</v>
      </c>
      <c r="N984" s="2496" t="s">
        <v>247</v>
      </c>
      <c r="O984" s="2496" t="s">
        <v>248</v>
      </c>
      <c r="P984" s="2496" t="s">
        <v>348</v>
      </c>
      <c r="Q984" s="2496" t="s">
        <v>250</v>
      </c>
      <c r="R984" s="2577" t="s">
        <v>139</v>
      </c>
      <c r="S984" s="2496" t="s">
        <v>251</v>
      </c>
      <c r="T984" s="2496" t="s">
        <v>252</v>
      </c>
      <c r="U984" s="2586" t="s">
        <v>253</v>
      </c>
      <c r="V984" s="174">
        <f t="shared" ref="V984:V991" si="132">V985</f>
        <v>0</v>
      </c>
      <c r="W984" s="175"/>
      <c r="X984" s="175"/>
      <c r="Y984" s="175"/>
      <c r="Z984" s="175"/>
      <c r="AA984" s="175"/>
    </row>
    <row r="985" spans="1:27" s="176" customFormat="1" hidden="1">
      <c r="A985" s="1106"/>
      <c r="B985" s="2495"/>
      <c r="C985" s="2502"/>
      <c r="D985" s="2588" t="s">
        <v>254</v>
      </c>
      <c r="E985" s="2589"/>
      <c r="F985" s="2590"/>
      <c r="G985" s="2591" t="s">
        <v>255</v>
      </c>
      <c r="H985" s="2592"/>
      <c r="I985" s="2593"/>
      <c r="J985" s="2497"/>
      <c r="K985" s="2497"/>
      <c r="L985" s="2497"/>
      <c r="M985" s="2497"/>
      <c r="N985" s="2497"/>
      <c r="O985" s="2497"/>
      <c r="P985" s="2497"/>
      <c r="Q985" s="2497"/>
      <c r="R985" s="2578"/>
      <c r="S985" s="2497"/>
      <c r="T985" s="2497"/>
      <c r="U985" s="2587"/>
      <c r="V985" s="174">
        <f t="shared" si="132"/>
        <v>0</v>
      </c>
      <c r="W985" s="175"/>
      <c r="X985" s="175"/>
      <c r="Y985" s="175"/>
      <c r="Z985" s="175"/>
      <c r="AA985" s="175"/>
    </row>
    <row r="986" spans="1:27" s="176" customFormat="1" ht="60" hidden="1">
      <c r="A986" s="1110"/>
      <c r="B986" s="336"/>
      <c r="C986" s="266" t="s">
        <v>1090</v>
      </c>
      <c r="D986" s="485"/>
      <c r="E986" s="470"/>
      <c r="F986" s="486"/>
      <c r="G986" s="487"/>
      <c r="H986" s="473"/>
      <c r="I986" s="488"/>
      <c r="J986" s="275"/>
      <c r="K986" s="275"/>
      <c r="L986" s="275"/>
      <c r="M986" s="275"/>
      <c r="N986" s="275"/>
      <c r="O986" s="275"/>
      <c r="P986" s="338"/>
      <c r="Q986" s="275"/>
      <c r="R986" s="191">
        <v>5</v>
      </c>
      <c r="S986" s="275" t="s">
        <v>148</v>
      </c>
      <c r="T986" s="276">
        <v>7</v>
      </c>
      <c r="U986" s="407" t="s">
        <v>372</v>
      </c>
      <c r="V986" s="306">
        <f t="shared" si="132"/>
        <v>0</v>
      </c>
      <c r="W986" s="175"/>
      <c r="X986" s="175"/>
      <c r="Y986" s="175"/>
      <c r="Z986" s="175"/>
      <c r="AA986" s="175"/>
    </row>
    <row r="987" spans="1:27" s="176" customFormat="1" ht="60" hidden="1">
      <c r="A987" s="1110"/>
      <c r="B987" s="336"/>
      <c r="C987" s="266" t="s">
        <v>1091</v>
      </c>
      <c r="D987" s="485"/>
      <c r="E987" s="470"/>
      <c r="F987" s="486"/>
      <c r="G987" s="487"/>
      <c r="H987" s="473"/>
      <c r="I987" s="488"/>
      <c r="J987" s="275"/>
      <c r="K987" s="275"/>
      <c r="L987" s="275"/>
      <c r="M987" s="275"/>
      <c r="N987" s="275"/>
      <c r="O987" s="275"/>
      <c r="P987" s="338"/>
      <c r="Q987" s="275"/>
      <c r="R987" s="191">
        <v>3</v>
      </c>
      <c r="S987" s="275" t="s">
        <v>148</v>
      </c>
      <c r="T987" s="276">
        <v>7</v>
      </c>
      <c r="U987" s="902" t="s">
        <v>596</v>
      </c>
      <c r="V987" s="306">
        <f t="shared" si="132"/>
        <v>0</v>
      </c>
      <c r="W987" s="175"/>
      <c r="X987" s="175"/>
      <c r="Y987" s="175"/>
      <c r="Z987" s="175"/>
      <c r="AA987" s="175"/>
    </row>
    <row r="988" spans="1:27" s="176" customFormat="1" ht="60" hidden="1">
      <c r="A988" s="1110"/>
      <c r="B988" s="336"/>
      <c r="C988" s="266" t="s">
        <v>172</v>
      </c>
      <c r="D988" s="485"/>
      <c r="E988" s="605"/>
      <c r="F988" s="486"/>
      <c r="G988" s="487"/>
      <c r="H988" s="473"/>
      <c r="I988" s="488"/>
      <c r="J988" s="275"/>
      <c r="K988" s="275"/>
      <c r="L988" s="275"/>
      <c r="M988" s="275"/>
      <c r="N988" s="275"/>
      <c r="O988" s="275"/>
      <c r="P988" s="338"/>
      <c r="Q988" s="275"/>
      <c r="R988" s="191">
        <v>1</v>
      </c>
      <c r="S988" s="275" t="s">
        <v>148</v>
      </c>
      <c r="T988" s="276">
        <v>25</v>
      </c>
      <c r="U988" s="902" t="s">
        <v>1042</v>
      </c>
      <c r="V988" s="306">
        <f t="shared" si="132"/>
        <v>0</v>
      </c>
      <c r="W988" s="175"/>
      <c r="X988" s="175"/>
      <c r="Y988" s="175"/>
      <c r="Z988" s="175"/>
      <c r="AA988" s="175"/>
    </row>
    <row r="989" spans="1:27" s="222" customFormat="1" hidden="1">
      <c r="A989" s="1106"/>
      <c r="B989" s="358"/>
      <c r="C989" s="359"/>
      <c r="D989" s="587"/>
      <c r="E989" s="588"/>
      <c r="F989" s="589"/>
      <c r="G989" s="587"/>
      <c r="H989" s="588"/>
      <c r="I989" s="589"/>
      <c r="J989" s="360"/>
      <c r="K989" s="361"/>
      <c r="L989" s="362"/>
      <c r="M989" s="363"/>
      <c r="N989" s="364"/>
      <c r="O989" s="365"/>
      <c r="P989" s="362"/>
      <c r="Q989" s="366"/>
      <c r="R989" s="367"/>
      <c r="S989" s="368"/>
      <c r="T989" s="369"/>
      <c r="U989" s="370"/>
      <c r="V989" s="174">
        <f t="shared" si="132"/>
        <v>0</v>
      </c>
    </row>
    <row r="990" spans="1:27" s="40" customFormat="1" hidden="1">
      <c r="A990" s="1106"/>
      <c r="B990" s="371"/>
      <c r="C990" s="377"/>
      <c r="D990" s="2548" t="s">
        <v>257</v>
      </c>
      <c r="E990" s="2549"/>
      <c r="F990" s="2549"/>
      <c r="G990" s="2549"/>
      <c r="H990" s="2549"/>
      <c r="I990" s="2550"/>
      <c r="J990" s="2488">
        <f>VLOOKUP(A992,'11 - FINANCEIRA'!$A$16:$AE$156,30,FALSE)</f>
        <v>9</v>
      </c>
      <c r="K990" s="2489"/>
      <c r="L990" s="590" t="str">
        <f>VLOOKUP(A992,'11 - FINANCEIRA'!_xlnm.Print_Area,4,FALSE)</f>
        <v>un</v>
      </c>
      <c r="M990" s="2561" t="s">
        <v>258</v>
      </c>
      <c r="N990" s="2562"/>
      <c r="O990" s="2562"/>
      <c r="P990" s="2562"/>
      <c r="Q990" s="2563"/>
      <c r="R990" s="375">
        <f>SUM(R986:R989)</f>
        <v>9</v>
      </c>
      <c r="S990" s="591" t="str">
        <f>L990</f>
        <v>un</v>
      </c>
      <c r="T990" s="372"/>
      <c r="U990" s="373"/>
      <c r="V990" s="174">
        <f t="shared" si="132"/>
        <v>0</v>
      </c>
    </row>
    <row r="991" spans="1:27" s="40" customFormat="1" hidden="1">
      <c r="A991" s="1106" t="s">
        <v>79</v>
      </c>
      <c r="B991" s="371"/>
      <c r="C991" s="374"/>
      <c r="D991" s="2505" t="s">
        <v>259</v>
      </c>
      <c r="E991" s="2506"/>
      <c r="F991" s="2506"/>
      <c r="G991" s="2506"/>
      <c r="H991" s="2506"/>
      <c r="I991" s="2507"/>
      <c r="J991" s="2511">
        <f>R990/J990</f>
        <v>1</v>
      </c>
      <c r="K991" s="2512"/>
      <c r="L991" s="2559"/>
      <c r="M991" s="2561" t="s">
        <v>260</v>
      </c>
      <c r="N991" s="2562"/>
      <c r="O991" s="2562"/>
      <c r="P991" s="2562"/>
      <c r="Q991" s="2563"/>
      <c r="R991" s="375">
        <f>VLOOKUP(A992,'11 - FINANCEIRA'!_xlnm.Print_Area,8,FALSE)</f>
        <v>9</v>
      </c>
      <c r="S991" s="376" t="str">
        <f>L990</f>
        <v>un</v>
      </c>
      <c r="T991" s="372"/>
      <c r="U991" s="373"/>
      <c r="V991" s="174">
        <f t="shared" si="132"/>
        <v>0</v>
      </c>
    </row>
    <row r="992" spans="1:27" s="40" customFormat="1" hidden="1">
      <c r="A992" s="1106" t="s">
        <v>80</v>
      </c>
      <c r="B992" s="601"/>
      <c r="C992" s="377"/>
      <c r="D992" s="2551"/>
      <c r="E992" s="2552"/>
      <c r="F992" s="2552"/>
      <c r="G992" s="2552"/>
      <c r="H992" s="2552"/>
      <c r="I992" s="2553"/>
      <c r="J992" s="2530"/>
      <c r="K992" s="2531"/>
      <c r="L992" s="2560"/>
      <c r="M992" s="2561" t="s">
        <v>261</v>
      </c>
      <c r="N992" s="2562"/>
      <c r="O992" s="2562"/>
      <c r="P992" s="2562"/>
      <c r="Q992" s="2563"/>
      <c r="R992" s="378">
        <f>R990-R991</f>
        <v>0</v>
      </c>
      <c r="S992" s="379" t="str">
        <f>L990</f>
        <v>un</v>
      </c>
      <c r="T992" s="372"/>
      <c r="U992" s="373"/>
      <c r="V992" s="174">
        <f>R992</f>
        <v>0</v>
      </c>
    </row>
    <row r="993" spans="1:27" s="40" customFormat="1" hidden="1">
      <c r="A993" s="1106"/>
      <c r="B993" s="380"/>
      <c r="C993" s="381"/>
      <c r="D993" s="382"/>
      <c r="E993" s="383"/>
      <c r="F993" s="382"/>
      <c r="G993" s="382"/>
      <c r="H993" s="382"/>
      <c r="I993" s="382"/>
      <c r="J993" s="384"/>
      <c r="K993" s="385"/>
      <c r="L993" s="386"/>
      <c r="M993" s="387"/>
      <c r="N993" s="387"/>
      <c r="O993" s="387"/>
      <c r="P993" s="387"/>
      <c r="Q993" s="387"/>
      <c r="R993" s="388"/>
      <c r="S993" s="389"/>
      <c r="T993" s="390"/>
      <c r="U993" s="391"/>
      <c r="V993" s="265">
        <f>SUM(V984:V992)</f>
        <v>0</v>
      </c>
    </row>
    <row r="994" spans="1:27" s="176" customFormat="1" ht="18" hidden="1" customHeight="1">
      <c r="A994" s="1106"/>
      <c r="B994" s="2463">
        <f>VLOOKUP(A1002,'11 - FINANCEIRA'!_xlnm.Print_Area,2,FALSE)</f>
        <v>804015</v>
      </c>
      <c r="C994" s="2465" t="str">
        <f>VLOOKUP(A1002,'11 - FINANCEIRA'!_xlnm.Print_Area,3,FALSE)</f>
        <v>Corpo de BSTC D = 0,40 m CA2 - areia, brita e pedra de mão comerciais</v>
      </c>
      <c r="D994" s="2472" t="s">
        <v>242</v>
      </c>
      <c r="E994" s="2473"/>
      <c r="F994" s="2473"/>
      <c r="G994" s="2473"/>
      <c r="H994" s="2473"/>
      <c r="I994" s="2474"/>
      <c r="J994" s="2467" t="s">
        <v>373</v>
      </c>
      <c r="K994" s="2467" t="s">
        <v>244</v>
      </c>
      <c r="L994" s="2467" t="s">
        <v>245</v>
      </c>
      <c r="M994" s="2467" t="s">
        <v>246</v>
      </c>
      <c r="N994" s="2467" t="s">
        <v>247</v>
      </c>
      <c r="O994" s="2467" t="s">
        <v>248</v>
      </c>
      <c r="P994" s="173" t="s">
        <v>249</v>
      </c>
      <c r="Q994" s="2467" t="s">
        <v>250</v>
      </c>
      <c r="R994" s="2579" t="s">
        <v>139</v>
      </c>
      <c r="S994" s="2467" t="s">
        <v>251</v>
      </c>
      <c r="T994" s="2467" t="s">
        <v>252</v>
      </c>
      <c r="U994" s="2584" t="s">
        <v>253</v>
      </c>
      <c r="V994" s="174" t="e">
        <f t="shared" ref="V994:V1001" si="133">V995</f>
        <v>#REF!</v>
      </c>
      <c r="W994" s="175"/>
      <c r="X994" s="175"/>
      <c r="Y994" s="175"/>
      <c r="Z994" s="175"/>
      <c r="AA994" s="175"/>
    </row>
    <row r="995" spans="1:27" s="176" customFormat="1" hidden="1">
      <c r="A995" s="1106"/>
      <c r="B995" s="2464"/>
      <c r="C995" s="2466"/>
      <c r="D995" s="2475" t="s">
        <v>254</v>
      </c>
      <c r="E995" s="2476"/>
      <c r="F995" s="2477"/>
      <c r="G995" s="2469" t="s">
        <v>255</v>
      </c>
      <c r="H995" s="2470"/>
      <c r="I995" s="2471"/>
      <c r="J995" s="2468"/>
      <c r="K995" s="2468"/>
      <c r="L995" s="2468"/>
      <c r="M995" s="2468"/>
      <c r="N995" s="2468"/>
      <c r="O995" s="2468"/>
      <c r="P995" s="177" t="s">
        <v>256</v>
      </c>
      <c r="Q995" s="2468"/>
      <c r="R995" s="2580"/>
      <c r="S995" s="2468"/>
      <c r="T995" s="2468"/>
      <c r="U995" s="2585"/>
      <c r="V995" s="174" t="e">
        <f t="shared" si="133"/>
        <v>#REF!</v>
      </c>
      <c r="W995" s="175"/>
      <c r="X995" s="175"/>
      <c r="Y995" s="175"/>
      <c r="Z995" s="175"/>
      <c r="AA995" s="175"/>
    </row>
    <row r="996" spans="1:27" s="176" customFormat="1" hidden="1">
      <c r="A996" s="1106"/>
      <c r="B996" s="178"/>
      <c r="C996" s="266" t="s">
        <v>374</v>
      </c>
      <c r="D996" s="469">
        <v>1</v>
      </c>
      <c r="E996" s="470" t="s">
        <v>299</v>
      </c>
      <c r="F996" s="486">
        <v>18.34</v>
      </c>
      <c r="G996" s="472">
        <v>1</v>
      </c>
      <c r="H996" s="473" t="s">
        <v>299</v>
      </c>
      <c r="I996" s="488">
        <v>18.34</v>
      </c>
      <c r="J996" s="275"/>
      <c r="K996" s="489">
        <v>4.4000000000000004</v>
      </c>
      <c r="L996" s="275"/>
      <c r="M996" s="275"/>
      <c r="N996" s="275"/>
      <c r="O996" s="275"/>
      <c r="P996" s="338"/>
      <c r="Q996" s="275"/>
      <c r="R996" s="191">
        <f>K996</f>
        <v>4.4000000000000004</v>
      </c>
      <c r="S996" s="275" t="s">
        <v>144</v>
      </c>
      <c r="T996" s="276">
        <v>2</v>
      </c>
      <c r="U996" s="602" t="s">
        <v>375</v>
      </c>
      <c r="V996" s="174" t="e">
        <f>#REF!</f>
        <v>#REF!</v>
      </c>
      <c r="W996" s="175"/>
      <c r="X996" s="175"/>
      <c r="Y996" s="175"/>
      <c r="Z996" s="175"/>
      <c r="AA996" s="175"/>
    </row>
    <row r="997" spans="1:27" s="176" customFormat="1" ht="28.5" hidden="1">
      <c r="A997" s="1110"/>
      <c r="B997" s="610"/>
      <c r="C997" s="820" t="s">
        <v>374</v>
      </c>
      <c r="D997" s="611">
        <v>9</v>
      </c>
      <c r="E997" s="714" t="s">
        <v>299</v>
      </c>
      <c r="F997" s="566">
        <v>10</v>
      </c>
      <c r="G997" s="611">
        <v>10</v>
      </c>
      <c r="H997" s="301" t="s">
        <v>299</v>
      </c>
      <c r="I997" s="566">
        <v>0</v>
      </c>
      <c r="J997" s="357"/>
      <c r="K997" s="611">
        <v>10</v>
      </c>
      <c r="L997" s="357"/>
      <c r="M997" s="566"/>
      <c r="N997" s="714"/>
      <c r="O997" s="618"/>
      <c r="P997" s="619"/>
      <c r="Q997" s="566"/>
      <c r="R997" s="616">
        <f>K997</f>
        <v>10</v>
      </c>
      <c r="S997" s="357" t="s">
        <v>144</v>
      </c>
      <c r="T997" s="347">
        <v>12</v>
      </c>
      <c r="U997" s="810" t="s">
        <v>531</v>
      </c>
    </row>
    <row r="998" spans="1:27" s="176" customFormat="1" hidden="1">
      <c r="A998" s="1110"/>
      <c r="B998" s="610"/>
      <c r="C998" s="820" t="s">
        <v>374</v>
      </c>
      <c r="D998" s="611">
        <v>19</v>
      </c>
      <c r="E998" s="714" t="s">
        <v>299</v>
      </c>
      <c r="F998" s="566">
        <v>19</v>
      </c>
      <c r="G998" s="611">
        <v>20</v>
      </c>
      <c r="H998" s="301" t="s">
        <v>299</v>
      </c>
      <c r="I998" s="566">
        <v>1</v>
      </c>
      <c r="J998" s="357"/>
      <c r="K998" s="611">
        <v>2</v>
      </c>
      <c r="L998" s="357"/>
      <c r="M998" s="566"/>
      <c r="N998" s="714"/>
      <c r="O998" s="618"/>
      <c r="P998" s="619"/>
      <c r="Q998" s="566"/>
      <c r="R998" s="616">
        <f>K998</f>
        <v>2</v>
      </c>
      <c r="S998" s="357" t="s">
        <v>144</v>
      </c>
      <c r="T998" s="347">
        <v>15</v>
      </c>
      <c r="U998" s="810" t="s">
        <v>630</v>
      </c>
    </row>
    <row r="999" spans="1:27" s="222" customFormat="1" hidden="1">
      <c r="A999" s="1106"/>
      <c r="B999" s="223"/>
      <c r="C999" s="224"/>
      <c r="D999" s="225"/>
      <c r="E999" s="226"/>
      <c r="F999" s="227"/>
      <c r="G999" s="225"/>
      <c r="H999" s="226"/>
      <c r="I999" s="227"/>
      <c r="J999" s="228"/>
      <c r="K999" s="603"/>
      <c r="L999" s="230"/>
      <c r="M999" s="231"/>
      <c r="N999" s="232"/>
      <c r="O999" s="233"/>
      <c r="P999" s="230"/>
      <c r="Q999" s="234"/>
      <c r="R999" s="235"/>
      <c r="S999" s="236"/>
      <c r="T999" s="294"/>
      <c r="U999" s="238"/>
      <c r="V999" s="174">
        <f t="shared" si="133"/>
        <v>0</v>
      </c>
    </row>
    <row r="1000" spans="1:27" s="40" customFormat="1" hidden="1">
      <c r="A1000" s="1106"/>
      <c r="B1000" s="246"/>
      <c r="C1000" s="240"/>
      <c r="D1000" s="2527" t="s">
        <v>257</v>
      </c>
      <c r="E1000" s="2528"/>
      <c r="F1000" s="2528"/>
      <c r="G1000" s="2528"/>
      <c r="H1000" s="2528"/>
      <c r="I1000" s="2529"/>
      <c r="J1000" s="2488">
        <f>VLOOKUP(A1002,'11 - FINANCEIRA'!$A$16:$AE$156,30,FALSE)</f>
        <v>46.4</v>
      </c>
      <c r="K1000" s="2489"/>
      <c r="L1000" s="309" t="str">
        <f>VLOOKUP(A1002,'11 - FINANCEIRA'!_xlnm.Print_Area,4,FALSE)</f>
        <v>m</v>
      </c>
      <c r="M1000" s="2556" t="s">
        <v>258</v>
      </c>
      <c r="N1000" s="2557"/>
      <c r="O1000" s="2557"/>
      <c r="P1000" s="2557"/>
      <c r="Q1000" s="2558"/>
      <c r="R1000" s="248">
        <f>SUM(R996:R999)</f>
        <v>16.399999999999999</v>
      </c>
      <c r="S1000" s="310" t="str">
        <f>L1000</f>
        <v>m</v>
      </c>
      <c r="T1000" s="244"/>
      <c r="U1000" s="245"/>
      <c r="V1000" s="174">
        <f t="shared" si="133"/>
        <v>0</v>
      </c>
    </row>
    <row r="1001" spans="1:27" s="40" customFormat="1" hidden="1">
      <c r="A1001" s="1106"/>
      <c r="B1001" s="246"/>
      <c r="C1001" s="247"/>
      <c r="D1001" s="2521" t="s">
        <v>259</v>
      </c>
      <c r="E1001" s="2522"/>
      <c r="F1001" s="2522"/>
      <c r="G1001" s="2522"/>
      <c r="H1001" s="2522"/>
      <c r="I1001" s="2523"/>
      <c r="J1001" s="2515">
        <f>R1000/J1000</f>
        <v>0.35344827586206895</v>
      </c>
      <c r="K1001" s="2516"/>
      <c r="L1001" s="2554"/>
      <c r="M1001" s="2556" t="s">
        <v>260</v>
      </c>
      <c r="N1001" s="2557"/>
      <c r="O1001" s="2557"/>
      <c r="P1001" s="2557"/>
      <c r="Q1001" s="2558"/>
      <c r="R1001" s="248">
        <f>VLOOKUP(A1002,'11 - FINANCEIRA'!_xlnm.Print_Area,8,FALSE)</f>
        <v>16.399999999999999</v>
      </c>
      <c r="S1001" s="249" t="str">
        <f>L1000</f>
        <v>m</v>
      </c>
      <c r="T1001" s="244"/>
      <c r="U1001" s="245"/>
      <c r="V1001" s="174">
        <f t="shared" si="133"/>
        <v>0</v>
      </c>
    </row>
    <row r="1002" spans="1:27" s="40" customFormat="1" hidden="1">
      <c r="A1002" s="1106" t="s">
        <v>81</v>
      </c>
      <c r="B1002" s="246"/>
      <c r="C1002" s="240"/>
      <c r="D1002" s="2524"/>
      <c r="E1002" s="2525"/>
      <c r="F1002" s="2525"/>
      <c r="G1002" s="2525"/>
      <c r="H1002" s="2525"/>
      <c r="I1002" s="2526"/>
      <c r="J1002" s="2519"/>
      <c r="K1002" s="2520"/>
      <c r="L1002" s="2570"/>
      <c r="M1002" s="2574" t="s">
        <v>261</v>
      </c>
      <c r="N1002" s="2575"/>
      <c r="O1002" s="2575"/>
      <c r="P1002" s="2575"/>
      <c r="Q1002" s="2576"/>
      <c r="R1002" s="251">
        <f>R1000-R1001</f>
        <v>0</v>
      </c>
      <c r="S1002" s="252" t="str">
        <f>L1000</f>
        <v>m</v>
      </c>
      <c r="T1002" s="244"/>
      <c r="U1002" s="245"/>
      <c r="V1002" s="174">
        <f>R1002</f>
        <v>0</v>
      </c>
    </row>
    <row r="1003" spans="1:27" s="40" customFormat="1" hidden="1">
      <c r="A1003" s="1106"/>
      <c r="B1003" s="295"/>
      <c r="C1003" s="254"/>
      <c r="D1003" s="255"/>
      <c r="E1003" s="256"/>
      <c r="F1003" s="255"/>
      <c r="G1003" s="255"/>
      <c r="H1003" s="255"/>
      <c r="I1003" s="255"/>
      <c r="J1003" s="257"/>
      <c r="K1003" s="258"/>
      <c r="L1003" s="259"/>
      <c r="M1003" s="260"/>
      <c r="N1003" s="260"/>
      <c r="O1003" s="260"/>
      <c r="P1003" s="260"/>
      <c r="Q1003" s="260"/>
      <c r="R1003" s="261"/>
      <c r="S1003" s="262"/>
      <c r="T1003" s="263"/>
      <c r="U1003" s="264"/>
      <c r="V1003" s="265" t="e">
        <f>SUM(V994:V1002)</f>
        <v>#REF!</v>
      </c>
    </row>
    <row r="1004" spans="1:27" s="176" customFormat="1" ht="18" hidden="1" customHeight="1">
      <c r="A1004" s="1104"/>
      <c r="B1004" s="2463">
        <f>VLOOKUP(A1012,'11 - FINANCEIRA'!_xlnm.Print_Area,2,FALSE)</f>
        <v>2003650</v>
      </c>
      <c r="C1004" s="2465" t="str">
        <f>VLOOKUP(A1012,'11 - FINANCEIRA'!_xlnm.Print_Area,3,FALSE)</f>
        <v>Caixa de ligação e passagem - CLP 05 - areia e brita comerciais</v>
      </c>
      <c r="D1004" s="2472" t="s">
        <v>242</v>
      </c>
      <c r="E1004" s="2473"/>
      <c r="F1004" s="2473"/>
      <c r="G1004" s="2473"/>
      <c r="H1004" s="2473"/>
      <c r="I1004" s="2474"/>
      <c r="J1004" s="2467" t="s">
        <v>373</v>
      </c>
      <c r="K1004" s="2467" t="s">
        <v>244</v>
      </c>
      <c r="L1004" s="2467" t="s">
        <v>245</v>
      </c>
      <c r="M1004" s="2467" t="s">
        <v>246</v>
      </c>
      <c r="N1004" s="2467" t="s">
        <v>247</v>
      </c>
      <c r="O1004" s="2467" t="s">
        <v>248</v>
      </c>
      <c r="P1004" s="173" t="s">
        <v>249</v>
      </c>
      <c r="Q1004" s="2467" t="s">
        <v>250</v>
      </c>
      <c r="R1004" s="2579" t="s">
        <v>139</v>
      </c>
      <c r="S1004" s="2467" t="s">
        <v>251</v>
      </c>
      <c r="T1004" s="2467" t="s">
        <v>252</v>
      </c>
      <c r="U1004" s="2584" t="s">
        <v>253</v>
      </c>
      <c r="V1004" s="174">
        <f t="shared" ref="V1004:V1011" si="134">V1005</f>
        <v>0</v>
      </c>
      <c r="W1004" s="175"/>
      <c r="X1004" s="175"/>
      <c r="Y1004" s="175"/>
      <c r="Z1004" s="175"/>
      <c r="AA1004" s="175"/>
    </row>
    <row r="1005" spans="1:27" s="176" customFormat="1" hidden="1">
      <c r="A1005" s="1104"/>
      <c r="B1005" s="2464"/>
      <c r="C1005" s="2466"/>
      <c r="D1005" s="2475" t="s">
        <v>254</v>
      </c>
      <c r="E1005" s="2476"/>
      <c r="F1005" s="2477"/>
      <c r="G1005" s="2469" t="s">
        <v>255</v>
      </c>
      <c r="H1005" s="2470"/>
      <c r="I1005" s="2471"/>
      <c r="J1005" s="2468"/>
      <c r="K1005" s="2468"/>
      <c r="L1005" s="2468"/>
      <c r="M1005" s="2468"/>
      <c r="N1005" s="2468"/>
      <c r="O1005" s="2468"/>
      <c r="P1005" s="177" t="s">
        <v>256</v>
      </c>
      <c r="Q1005" s="2468"/>
      <c r="R1005" s="2580"/>
      <c r="S1005" s="2468"/>
      <c r="T1005" s="2468"/>
      <c r="U1005" s="2585"/>
      <c r="V1005" s="174">
        <f t="shared" si="134"/>
        <v>0</v>
      </c>
      <c r="W1005" s="175"/>
      <c r="X1005" s="175"/>
      <c r="Y1005" s="175"/>
      <c r="Z1005" s="175"/>
      <c r="AA1005" s="175"/>
    </row>
    <row r="1006" spans="1:27" s="176" customFormat="1" hidden="1">
      <c r="A1006" s="1104"/>
      <c r="B1006" s="178"/>
      <c r="C1006" s="307"/>
      <c r="D1006" s="267"/>
      <c r="E1006" s="268"/>
      <c r="F1006" s="269"/>
      <c r="G1006" s="270"/>
      <c r="H1006" s="271"/>
      <c r="I1006" s="272"/>
      <c r="J1006" s="273"/>
      <c r="K1006" s="273"/>
      <c r="L1006" s="273"/>
      <c r="M1006" s="273"/>
      <c r="N1006" s="273"/>
      <c r="O1006" s="273"/>
      <c r="P1006" s="274"/>
      <c r="Q1006" s="273"/>
      <c r="R1006" s="308"/>
      <c r="S1006" s="273"/>
      <c r="T1006" s="276"/>
      <c r="U1006" s="194"/>
      <c r="V1006" s="174">
        <f t="shared" si="134"/>
        <v>0</v>
      </c>
      <c r="W1006" s="175"/>
      <c r="X1006" s="175"/>
      <c r="Y1006" s="175"/>
      <c r="Z1006" s="175"/>
      <c r="AA1006" s="175"/>
    </row>
    <row r="1007" spans="1:27" s="176" customFormat="1" hidden="1">
      <c r="A1007" s="1104"/>
      <c r="B1007" s="195"/>
      <c r="C1007" s="277"/>
      <c r="D1007" s="278"/>
      <c r="E1007" s="279"/>
      <c r="F1007" s="280"/>
      <c r="G1007" s="281"/>
      <c r="H1007" s="282"/>
      <c r="I1007" s="283"/>
      <c r="J1007" s="284"/>
      <c r="K1007" s="278"/>
      <c r="L1007" s="284"/>
      <c r="M1007" s="280"/>
      <c r="N1007" s="279"/>
      <c r="O1007" s="278"/>
      <c r="P1007" s="285"/>
      <c r="Q1007" s="280"/>
      <c r="R1007" s="203"/>
      <c r="S1007" s="284"/>
      <c r="T1007" s="286"/>
      <c r="U1007" s="205"/>
      <c r="V1007" s="174">
        <f t="shared" si="134"/>
        <v>0</v>
      </c>
      <c r="W1007" s="175"/>
      <c r="X1007" s="175"/>
      <c r="Y1007" s="175"/>
      <c r="Z1007" s="175"/>
      <c r="AA1007" s="175"/>
    </row>
    <row r="1008" spans="1:27" s="222" customFormat="1" hidden="1">
      <c r="A1008" s="1105"/>
      <c r="B1008" s="206"/>
      <c r="C1008" s="287"/>
      <c r="D1008" s="288"/>
      <c r="E1008" s="289"/>
      <c r="F1008" s="290"/>
      <c r="G1008" s="288"/>
      <c r="H1008" s="289"/>
      <c r="I1008" s="290"/>
      <c r="J1008" s="201"/>
      <c r="K1008" s="291"/>
      <c r="L1008" s="291"/>
      <c r="M1008" s="291"/>
      <c r="N1008" s="291"/>
      <c r="O1008" s="292"/>
      <c r="P1008" s="291"/>
      <c r="Q1008" s="292"/>
      <c r="R1008" s="218"/>
      <c r="S1008" s="293"/>
      <c r="T1008" s="204"/>
      <c r="U1008" s="221"/>
      <c r="V1008" s="174">
        <f t="shared" si="134"/>
        <v>0</v>
      </c>
    </row>
    <row r="1009" spans="1:27" s="222" customFormat="1" hidden="1">
      <c r="A1009" s="1105"/>
      <c r="B1009" s="223"/>
      <c r="C1009" s="224"/>
      <c r="D1009" s="225"/>
      <c r="E1009" s="226"/>
      <c r="F1009" s="227"/>
      <c r="G1009" s="225"/>
      <c r="H1009" s="226"/>
      <c r="I1009" s="227"/>
      <c r="J1009" s="228"/>
      <c r="K1009" s="229"/>
      <c r="L1009" s="230"/>
      <c r="M1009" s="231"/>
      <c r="N1009" s="232"/>
      <c r="O1009" s="233"/>
      <c r="P1009" s="230"/>
      <c r="Q1009" s="234"/>
      <c r="R1009" s="235"/>
      <c r="S1009" s="236"/>
      <c r="T1009" s="294"/>
      <c r="U1009" s="238"/>
      <c r="V1009" s="174">
        <f t="shared" si="134"/>
        <v>0</v>
      </c>
    </row>
    <row r="1010" spans="1:27" s="40" customFormat="1" hidden="1">
      <c r="A1010" s="1106"/>
      <c r="B1010" s="246"/>
      <c r="C1010" s="240"/>
      <c r="D1010" s="2527" t="s">
        <v>257</v>
      </c>
      <c r="E1010" s="2528"/>
      <c r="F1010" s="2528"/>
      <c r="G1010" s="2528"/>
      <c r="H1010" s="2528"/>
      <c r="I1010" s="2529"/>
      <c r="J1010" s="2488">
        <f>VLOOKUP(A1012,'11 - FINANCEIRA'!_xlnm.Print_Area,30,FALSE)</f>
        <v>1</v>
      </c>
      <c r="K1010" s="2489"/>
      <c r="L1010" s="309" t="str">
        <f>VLOOKUP(A1012,'11 - FINANCEIRA'!_xlnm.Print_Area,4,FALSE)</f>
        <v>un</v>
      </c>
      <c r="M1010" s="2556" t="s">
        <v>258</v>
      </c>
      <c r="N1010" s="2557"/>
      <c r="O1010" s="2557"/>
      <c r="P1010" s="2557"/>
      <c r="Q1010" s="2558"/>
      <c r="R1010" s="248">
        <f>SUM(R1006:R1009)</f>
        <v>0</v>
      </c>
      <c r="S1010" s="310" t="str">
        <f>L1010</f>
        <v>un</v>
      </c>
      <c r="T1010" s="244"/>
      <c r="U1010" s="245"/>
      <c r="V1010" s="174">
        <f t="shared" si="134"/>
        <v>0</v>
      </c>
    </row>
    <row r="1011" spans="1:27" s="40" customFormat="1" hidden="1">
      <c r="A1011" s="1106"/>
      <c r="B1011" s="246"/>
      <c r="C1011" s="247"/>
      <c r="D1011" s="2521" t="s">
        <v>259</v>
      </c>
      <c r="E1011" s="2522"/>
      <c r="F1011" s="2522"/>
      <c r="G1011" s="2522"/>
      <c r="H1011" s="2522"/>
      <c r="I1011" s="2523"/>
      <c r="J1011" s="2515">
        <f>R1010/J1010</f>
        <v>0</v>
      </c>
      <c r="K1011" s="2516"/>
      <c r="L1011" s="2554"/>
      <c r="M1011" s="2556" t="s">
        <v>260</v>
      </c>
      <c r="N1011" s="2557"/>
      <c r="O1011" s="2557"/>
      <c r="P1011" s="2557"/>
      <c r="Q1011" s="2558"/>
      <c r="R1011" s="248">
        <f>VLOOKUP(A1012,'11 - FINANCEIRA'!_xlnm.Print_Area,8,FALSE)</f>
        <v>0</v>
      </c>
      <c r="S1011" s="249" t="str">
        <f>L1010</f>
        <v>un</v>
      </c>
      <c r="T1011" s="244"/>
      <c r="U1011" s="245"/>
      <c r="V1011" s="174">
        <f t="shared" si="134"/>
        <v>0</v>
      </c>
    </row>
    <row r="1012" spans="1:27" s="40" customFormat="1" hidden="1">
      <c r="A1012" s="1106" t="s">
        <v>82</v>
      </c>
      <c r="B1012" s="246"/>
      <c r="C1012" s="240"/>
      <c r="D1012" s="2524"/>
      <c r="E1012" s="2525"/>
      <c r="F1012" s="2525"/>
      <c r="G1012" s="2525"/>
      <c r="H1012" s="2525"/>
      <c r="I1012" s="2526"/>
      <c r="J1012" s="2519"/>
      <c r="K1012" s="2520"/>
      <c r="L1012" s="2570"/>
      <c r="M1012" s="2574" t="s">
        <v>261</v>
      </c>
      <c r="N1012" s="2575"/>
      <c r="O1012" s="2575"/>
      <c r="P1012" s="2575"/>
      <c r="Q1012" s="2576"/>
      <c r="R1012" s="251">
        <f>R1010-R1011</f>
        <v>0</v>
      </c>
      <c r="S1012" s="252" t="str">
        <f>L1010</f>
        <v>un</v>
      </c>
      <c r="T1012" s="244"/>
      <c r="U1012" s="245"/>
      <c r="V1012" s="174">
        <f>R1012</f>
        <v>0</v>
      </c>
    </row>
    <row r="1013" spans="1:27" s="40" customFormat="1" hidden="1">
      <c r="A1013" s="1106"/>
      <c r="B1013" s="295"/>
      <c r="C1013" s="254"/>
      <c r="D1013" s="255"/>
      <c r="E1013" s="256"/>
      <c r="F1013" s="255"/>
      <c r="G1013" s="255"/>
      <c r="H1013" s="255"/>
      <c r="I1013" s="255"/>
      <c r="J1013" s="257"/>
      <c r="K1013" s="258"/>
      <c r="L1013" s="259"/>
      <c r="M1013" s="260"/>
      <c r="N1013" s="260"/>
      <c r="O1013" s="260"/>
      <c r="P1013" s="260"/>
      <c r="Q1013" s="260"/>
      <c r="R1013" s="261"/>
      <c r="S1013" s="262"/>
      <c r="T1013" s="263"/>
      <c r="U1013" s="264"/>
      <c r="V1013" s="265">
        <f>SUM(V1004:V1012)</f>
        <v>0</v>
      </c>
    </row>
    <row r="1014" spans="1:27" s="176" customFormat="1" ht="31.5" hidden="1">
      <c r="A1014" s="1104"/>
      <c r="B1014" s="2463">
        <f>VLOOKUP(A1022,'11 - FINANCEIRA'!_xlnm.Print_Area,2,FALSE)</f>
        <v>2003626</v>
      </c>
      <c r="C1014" s="2503" t="str">
        <f>VLOOKUP(A1022,'11 - FINANCEIRA'!_xlnm.Print_Area,3,FALSE)</f>
        <v>Boca de lobo simples - grelha de concreto - BLSG 01 - areia e brita comerciais</v>
      </c>
      <c r="D1014" s="2472" t="s">
        <v>242</v>
      </c>
      <c r="E1014" s="2473"/>
      <c r="F1014" s="2473"/>
      <c r="G1014" s="2473"/>
      <c r="H1014" s="2473"/>
      <c r="I1014" s="2474"/>
      <c r="J1014" s="2467" t="s">
        <v>373</v>
      </c>
      <c r="K1014" s="2467" t="s">
        <v>244</v>
      </c>
      <c r="L1014" s="2467" t="s">
        <v>245</v>
      </c>
      <c r="M1014" s="2467" t="s">
        <v>246</v>
      </c>
      <c r="N1014" s="2467" t="s">
        <v>247</v>
      </c>
      <c r="O1014" s="2467" t="s">
        <v>248</v>
      </c>
      <c r="P1014" s="970" t="s">
        <v>348</v>
      </c>
      <c r="Q1014" s="2467" t="s">
        <v>250</v>
      </c>
      <c r="R1014" s="2579" t="s">
        <v>139</v>
      </c>
      <c r="S1014" s="2467" t="s">
        <v>251</v>
      </c>
      <c r="T1014" s="2467" t="s">
        <v>252</v>
      </c>
      <c r="U1014" s="2584" t="s">
        <v>253</v>
      </c>
      <c r="V1014" s="174">
        <f t="shared" ref="V1014:V1021" si="135">V1015</f>
        <v>0</v>
      </c>
      <c r="W1014" s="175"/>
      <c r="X1014" s="175"/>
      <c r="Y1014" s="175"/>
      <c r="Z1014" s="175"/>
      <c r="AA1014" s="175"/>
    </row>
    <row r="1015" spans="1:27" s="176" customFormat="1" hidden="1">
      <c r="A1015" s="1104"/>
      <c r="B1015" s="2464"/>
      <c r="C1015" s="2504"/>
      <c r="D1015" s="2475" t="s">
        <v>254</v>
      </c>
      <c r="E1015" s="2476"/>
      <c r="F1015" s="2477"/>
      <c r="G1015" s="2469" t="s">
        <v>255</v>
      </c>
      <c r="H1015" s="2470"/>
      <c r="I1015" s="2471"/>
      <c r="J1015" s="2468"/>
      <c r="K1015" s="2468"/>
      <c r="L1015" s="2468"/>
      <c r="M1015" s="2468"/>
      <c r="N1015" s="2468"/>
      <c r="O1015" s="2468"/>
      <c r="P1015" s="964" t="s">
        <v>256</v>
      </c>
      <c r="Q1015" s="2468"/>
      <c r="R1015" s="2580"/>
      <c r="S1015" s="2468"/>
      <c r="T1015" s="2468"/>
      <c r="U1015" s="2585"/>
      <c r="V1015" s="174">
        <f t="shared" si="135"/>
        <v>0</v>
      </c>
      <c r="W1015" s="175"/>
      <c r="X1015" s="175"/>
      <c r="Y1015" s="175"/>
      <c r="Z1015" s="175"/>
      <c r="AA1015" s="175"/>
    </row>
    <row r="1016" spans="1:27" s="176" customFormat="1" hidden="1">
      <c r="A1016" s="1104"/>
      <c r="B1016" s="178"/>
      <c r="C1016" s="307"/>
      <c r="D1016" s="267"/>
      <c r="E1016" s="268"/>
      <c r="F1016" s="269"/>
      <c r="G1016" s="270"/>
      <c r="H1016" s="271"/>
      <c r="I1016" s="272"/>
      <c r="J1016" s="273"/>
      <c r="K1016" s="273"/>
      <c r="L1016" s="273"/>
      <c r="M1016" s="273"/>
      <c r="N1016" s="273"/>
      <c r="O1016" s="273"/>
      <c r="P1016" s="274"/>
      <c r="Q1016" s="273"/>
      <c r="R1016" s="308"/>
      <c r="S1016" s="273"/>
      <c r="T1016" s="276"/>
      <c r="U1016" s="194"/>
      <c r="V1016" s="174">
        <f t="shared" si="135"/>
        <v>0</v>
      </c>
      <c r="W1016" s="175"/>
      <c r="X1016" s="175"/>
      <c r="Y1016" s="175"/>
      <c r="Z1016" s="175"/>
      <c r="AA1016" s="175"/>
    </row>
    <row r="1017" spans="1:27" s="176" customFormat="1" hidden="1">
      <c r="A1017" s="1104"/>
      <c r="B1017" s="195"/>
      <c r="C1017" s="277"/>
      <c r="D1017" s="278"/>
      <c r="E1017" s="279"/>
      <c r="F1017" s="280"/>
      <c r="G1017" s="281"/>
      <c r="H1017" s="282"/>
      <c r="I1017" s="283"/>
      <c r="J1017" s="284"/>
      <c r="K1017" s="278"/>
      <c r="L1017" s="284"/>
      <c r="M1017" s="280"/>
      <c r="N1017" s="279"/>
      <c r="O1017" s="278"/>
      <c r="P1017" s="285"/>
      <c r="Q1017" s="280"/>
      <c r="R1017" s="203"/>
      <c r="S1017" s="284"/>
      <c r="T1017" s="286"/>
      <c r="U1017" s="205"/>
      <c r="V1017" s="174">
        <f t="shared" si="135"/>
        <v>0</v>
      </c>
      <c r="W1017" s="175"/>
      <c r="X1017" s="175"/>
      <c r="Y1017" s="175"/>
      <c r="Z1017" s="175"/>
      <c r="AA1017" s="175"/>
    </row>
    <row r="1018" spans="1:27" s="222" customFormat="1" hidden="1">
      <c r="A1018" s="1105"/>
      <c r="B1018" s="206"/>
      <c r="C1018" s="287"/>
      <c r="D1018" s="288"/>
      <c r="E1018" s="289"/>
      <c r="F1018" s="290"/>
      <c r="G1018" s="288"/>
      <c r="H1018" s="289"/>
      <c r="I1018" s="290"/>
      <c r="J1018" s="201"/>
      <c r="K1018" s="291"/>
      <c r="L1018" s="291"/>
      <c r="M1018" s="291"/>
      <c r="N1018" s="291"/>
      <c r="O1018" s="292"/>
      <c r="P1018" s="291"/>
      <c r="Q1018" s="292"/>
      <c r="R1018" s="218"/>
      <c r="S1018" s="293"/>
      <c r="T1018" s="204"/>
      <c r="U1018" s="221"/>
      <c r="V1018" s="174">
        <f t="shared" si="135"/>
        <v>0</v>
      </c>
    </row>
    <row r="1019" spans="1:27" s="222" customFormat="1" hidden="1">
      <c r="A1019" s="1105"/>
      <c r="B1019" s="223"/>
      <c r="C1019" s="224"/>
      <c r="D1019" s="225"/>
      <c r="E1019" s="226"/>
      <c r="F1019" s="227"/>
      <c r="G1019" s="225"/>
      <c r="H1019" s="226"/>
      <c r="I1019" s="227"/>
      <c r="J1019" s="228"/>
      <c r="K1019" s="229"/>
      <c r="L1019" s="230"/>
      <c r="M1019" s="231"/>
      <c r="N1019" s="232"/>
      <c r="O1019" s="233"/>
      <c r="P1019" s="230"/>
      <c r="Q1019" s="234"/>
      <c r="R1019" s="235"/>
      <c r="S1019" s="236"/>
      <c r="T1019" s="294"/>
      <c r="U1019" s="238"/>
      <c r="V1019" s="174">
        <f t="shared" si="135"/>
        <v>0</v>
      </c>
    </row>
    <row r="1020" spans="1:27" s="40" customFormat="1" hidden="1">
      <c r="A1020" s="1106"/>
      <c r="B1020" s="246"/>
      <c r="C1020" s="240"/>
      <c r="D1020" s="2527" t="s">
        <v>257</v>
      </c>
      <c r="E1020" s="2528"/>
      <c r="F1020" s="2528"/>
      <c r="G1020" s="2528"/>
      <c r="H1020" s="2528"/>
      <c r="I1020" s="2529"/>
      <c r="J1020" s="2488">
        <f>VLOOKUP(A1022,'11 - FINANCEIRA'!_xlnm.Print_Area,30,FALSE)</f>
        <v>1</v>
      </c>
      <c r="K1020" s="2489"/>
      <c r="L1020" s="309" t="str">
        <f>VLOOKUP(A1022,'11 - FINANCEIRA'!_xlnm.Print_Area,4,FALSE)</f>
        <v>un</v>
      </c>
      <c r="M1020" s="2556" t="s">
        <v>258</v>
      </c>
      <c r="N1020" s="2557"/>
      <c r="O1020" s="2557"/>
      <c r="P1020" s="2557"/>
      <c r="Q1020" s="2558"/>
      <c r="R1020" s="248">
        <f>SUM(R1016:R1019)</f>
        <v>0</v>
      </c>
      <c r="S1020" s="310" t="str">
        <f>L1020</f>
        <v>un</v>
      </c>
      <c r="T1020" s="244"/>
      <c r="U1020" s="245"/>
      <c r="V1020" s="174">
        <f t="shared" si="135"/>
        <v>0</v>
      </c>
    </row>
    <row r="1021" spans="1:27" s="40" customFormat="1" hidden="1">
      <c r="A1021" s="1106"/>
      <c r="B1021" s="246"/>
      <c r="C1021" s="247"/>
      <c r="D1021" s="2521" t="s">
        <v>259</v>
      </c>
      <c r="E1021" s="2522"/>
      <c r="F1021" s="2522"/>
      <c r="G1021" s="2522"/>
      <c r="H1021" s="2522"/>
      <c r="I1021" s="2523"/>
      <c r="J1021" s="2515">
        <f>R1020/J1020</f>
        <v>0</v>
      </c>
      <c r="K1021" s="2516"/>
      <c r="L1021" s="2554"/>
      <c r="M1021" s="2556" t="s">
        <v>260</v>
      </c>
      <c r="N1021" s="2557"/>
      <c r="O1021" s="2557"/>
      <c r="P1021" s="2557"/>
      <c r="Q1021" s="2558"/>
      <c r="R1021" s="248">
        <f>VLOOKUP(A1022,'11 - FINANCEIRA'!_xlnm.Print_Area,8,FALSE)</f>
        <v>0</v>
      </c>
      <c r="S1021" s="249" t="str">
        <f>L1020</f>
        <v>un</v>
      </c>
      <c r="T1021" s="244"/>
      <c r="U1021" s="245"/>
      <c r="V1021" s="174">
        <f t="shared" si="135"/>
        <v>0</v>
      </c>
    </row>
    <row r="1022" spans="1:27" s="40" customFormat="1" hidden="1">
      <c r="A1022" s="1106" t="s">
        <v>83</v>
      </c>
      <c r="B1022" s="246"/>
      <c r="C1022" s="240"/>
      <c r="D1022" s="2524"/>
      <c r="E1022" s="2525"/>
      <c r="F1022" s="2525"/>
      <c r="G1022" s="2525"/>
      <c r="H1022" s="2525"/>
      <c r="I1022" s="2526"/>
      <c r="J1022" s="2519"/>
      <c r="K1022" s="2520"/>
      <c r="L1022" s="2570"/>
      <c r="M1022" s="2574" t="s">
        <v>261</v>
      </c>
      <c r="N1022" s="2575"/>
      <c r="O1022" s="2575"/>
      <c r="P1022" s="2575"/>
      <c r="Q1022" s="2576"/>
      <c r="R1022" s="251">
        <f>R1020-R1021</f>
        <v>0</v>
      </c>
      <c r="S1022" s="252" t="str">
        <f>L1020</f>
        <v>un</v>
      </c>
      <c r="T1022" s="244"/>
      <c r="U1022" s="245"/>
      <c r="V1022" s="174">
        <f>R1022</f>
        <v>0</v>
      </c>
    </row>
    <row r="1023" spans="1:27" s="40" customFormat="1" hidden="1">
      <c r="A1023" s="1106"/>
      <c r="B1023" s="311"/>
      <c r="C1023" s="312"/>
      <c r="D1023" s="313"/>
      <c r="E1023" s="314"/>
      <c r="F1023" s="313"/>
      <c r="G1023" s="313"/>
      <c r="H1023" s="313"/>
      <c r="I1023" s="313"/>
      <c r="J1023" s="315"/>
      <c r="K1023" s="316"/>
      <c r="L1023" s="317"/>
      <c r="M1023" s="318"/>
      <c r="N1023" s="318"/>
      <c r="O1023" s="318"/>
      <c r="P1023" s="318"/>
      <c r="Q1023" s="318"/>
      <c r="R1023" s="319"/>
      <c r="S1023" s="320"/>
      <c r="T1023" s="321"/>
      <c r="U1023" s="322"/>
      <c r="V1023" s="265">
        <f>SUM(V1014:V1022)</f>
        <v>0</v>
      </c>
    </row>
    <row r="1024" spans="1:27" s="326" customFormat="1">
      <c r="A1024" s="1770"/>
      <c r="B1024" s="604" t="str">
        <f>VLOOKUP(A1031,'11 - FINANCEIRA'!_xlnm.Print_Area,1,FALSE)</f>
        <v>3.3</v>
      </c>
      <c r="C1024" s="167" t="str">
        <f>VLOOKUP(LEFT(A1031,9),'11 - FINANCEIRA'!_xlnm.Print_Area,2,FALSE)</f>
        <v>Manutenção Rede de Água</v>
      </c>
      <c r="D1024" s="167"/>
      <c r="E1024" s="168"/>
      <c r="F1024" s="167"/>
      <c r="G1024" s="169"/>
      <c r="H1024" s="170"/>
      <c r="I1024" s="170"/>
      <c r="J1024" s="170"/>
      <c r="K1024" s="170"/>
      <c r="L1024" s="170"/>
      <c r="M1024" s="171"/>
      <c r="N1024" s="172"/>
      <c r="O1024" s="171"/>
      <c r="P1024" s="171"/>
      <c r="Q1024" s="171"/>
      <c r="R1024" s="171"/>
      <c r="S1024" s="171"/>
      <c r="T1024" s="171"/>
      <c r="U1024" s="493"/>
      <c r="V1024" s="511" t="e">
        <f>SUM(V1025:V1095)</f>
        <v>#REF!</v>
      </c>
    </row>
    <row r="1025" spans="1:27" s="176" customFormat="1" hidden="1">
      <c r="A1025" s="1104"/>
      <c r="B1025" s="2624">
        <f>VLOOKUP(A1032,'11 - FINANCEIRA'!_xlnm.Print_Area,2,FALSE)</f>
        <v>2003680</v>
      </c>
      <c r="C1025" s="2643" t="str">
        <f>VLOOKUP(A1032,'11 - FINANCEIRA'!_xlnm.Print_Area,3,FALSE)</f>
        <v>Poço de visita - PVI 02 - areia e brita comerciais</v>
      </c>
      <c r="D1025" s="2626" t="s">
        <v>242</v>
      </c>
      <c r="E1025" s="2627"/>
      <c r="F1025" s="2627"/>
      <c r="G1025" s="2627"/>
      <c r="H1025" s="2627"/>
      <c r="I1025" s="2628"/>
      <c r="J1025" s="2532" t="s">
        <v>373</v>
      </c>
      <c r="K1025" s="2532" t="s">
        <v>244</v>
      </c>
      <c r="L1025" s="2532" t="s">
        <v>245</v>
      </c>
      <c r="M1025" s="2532" t="s">
        <v>246</v>
      </c>
      <c r="N1025" s="2532" t="s">
        <v>247</v>
      </c>
      <c r="O1025" s="2532" t="s">
        <v>248</v>
      </c>
      <c r="P1025" s="2532" t="s">
        <v>348</v>
      </c>
      <c r="Q1025" s="2532" t="s">
        <v>250</v>
      </c>
      <c r="R1025" s="2623" t="s">
        <v>139</v>
      </c>
      <c r="S1025" s="2532" t="s">
        <v>251</v>
      </c>
      <c r="T1025" s="2532" t="s">
        <v>252</v>
      </c>
      <c r="U1025" s="2622" t="s">
        <v>253</v>
      </c>
      <c r="V1025" s="174" t="e">
        <f t="shared" ref="V1025:V1031" si="136">V1026</f>
        <v>#REF!</v>
      </c>
      <c r="W1025" s="175"/>
      <c r="X1025" s="175"/>
      <c r="Y1025" s="175"/>
      <c r="Z1025" s="175"/>
      <c r="AA1025" s="175"/>
    </row>
    <row r="1026" spans="1:27" s="176" customFormat="1" hidden="1">
      <c r="A1026" s="1104"/>
      <c r="B1026" s="2464" t="e">
        <f>LEFT(#REF!,5)</f>
        <v>#REF!</v>
      </c>
      <c r="C1026" s="2466" t="e">
        <f>VLOOKUP(LEFT(#REF!,5),'11 - FINANCEIRA'!_xlnm.Print_Area,2,FALSE)</f>
        <v>#REF!</v>
      </c>
      <c r="D1026" s="2475" t="s">
        <v>254</v>
      </c>
      <c r="E1026" s="2476"/>
      <c r="F1026" s="2477"/>
      <c r="G1026" s="2469" t="s">
        <v>255</v>
      </c>
      <c r="H1026" s="2470"/>
      <c r="I1026" s="2471"/>
      <c r="J1026" s="2468"/>
      <c r="K1026" s="2468"/>
      <c r="L1026" s="2468"/>
      <c r="M1026" s="2468"/>
      <c r="N1026" s="2468"/>
      <c r="O1026" s="2468"/>
      <c r="P1026" s="2468" t="s">
        <v>256</v>
      </c>
      <c r="Q1026" s="2468"/>
      <c r="R1026" s="2580"/>
      <c r="S1026" s="2468"/>
      <c r="T1026" s="2468"/>
      <c r="U1026" s="2585"/>
      <c r="V1026" s="174" t="e">
        <f>#REF!</f>
        <v>#REF!</v>
      </c>
      <c r="W1026" s="175"/>
      <c r="X1026" s="175"/>
      <c r="Y1026" s="175"/>
      <c r="Z1026" s="175"/>
      <c r="AA1026" s="175"/>
    </row>
    <row r="1027" spans="1:27" s="176" customFormat="1" hidden="1">
      <c r="A1027" s="1104"/>
      <c r="B1027" s="195"/>
      <c r="C1027" s="277"/>
      <c r="D1027" s="278"/>
      <c r="E1027" s="279"/>
      <c r="F1027" s="280"/>
      <c r="G1027" s="281"/>
      <c r="H1027" s="282"/>
      <c r="I1027" s="283"/>
      <c r="J1027" s="284"/>
      <c r="K1027" s="278"/>
      <c r="L1027" s="284"/>
      <c r="M1027" s="280"/>
      <c r="N1027" s="279"/>
      <c r="O1027" s="278"/>
      <c r="P1027" s="285"/>
      <c r="Q1027" s="280"/>
      <c r="R1027" s="203"/>
      <c r="S1027" s="284"/>
      <c r="T1027" s="286"/>
      <c r="U1027" s="205"/>
      <c r="V1027" s="174">
        <f t="shared" si="136"/>
        <v>0</v>
      </c>
      <c r="W1027" s="175"/>
      <c r="X1027" s="175"/>
      <c r="Y1027" s="175"/>
      <c r="Z1027" s="175"/>
      <c r="AA1027" s="175"/>
    </row>
    <row r="1028" spans="1:27" s="222" customFormat="1" hidden="1">
      <c r="A1028" s="1105"/>
      <c r="B1028" s="206"/>
      <c r="C1028" s="287"/>
      <c r="D1028" s="288"/>
      <c r="E1028" s="289"/>
      <c r="F1028" s="290"/>
      <c r="G1028" s="288"/>
      <c r="H1028" s="289"/>
      <c r="I1028" s="290"/>
      <c r="J1028" s="201"/>
      <c r="K1028" s="291"/>
      <c r="L1028" s="291"/>
      <c r="M1028" s="291"/>
      <c r="N1028" s="291"/>
      <c r="O1028" s="292"/>
      <c r="P1028" s="291"/>
      <c r="Q1028" s="292"/>
      <c r="R1028" s="218"/>
      <c r="S1028" s="293"/>
      <c r="T1028" s="204"/>
      <c r="U1028" s="221"/>
      <c r="V1028" s="174">
        <f t="shared" si="136"/>
        <v>0</v>
      </c>
    </row>
    <row r="1029" spans="1:27" s="222" customFormat="1" hidden="1">
      <c r="A1029" s="1105"/>
      <c r="B1029" s="223"/>
      <c r="C1029" s="224"/>
      <c r="D1029" s="225"/>
      <c r="E1029" s="226"/>
      <c r="F1029" s="227"/>
      <c r="G1029" s="225"/>
      <c r="H1029" s="226"/>
      <c r="I1029" s="227"/>
      <c r="J1029" s="228"/>
      <c r="K1029" s="229"/>
      <c r="L1029" s="230"/>
      <c r="M1029" s="231"/>
      <c r="N1029" s="232"/>
      <c r="O1029" s="233"/>
      <c r="P1029" s="230"/>
      <c r="Q1029" s="234"/>
      <c r="R1029" s="235"/>
      <c r="S1029" s="236"/>
      <c r="T1029" s="294"/>
      <c r="U1029" s="238"/>
      <c r="V1029" s="174">
        <f t="shared" si="136"/>
        <v>0</v>
      </c>
    </row>
    <row r="1030" spans="1:27" s="40" customFormat="1" hidden="1">
      <c r="A1030" s="1106"/>
      <c r="B1030" s="246"/>
      <c r="C1030" s="240"/>
      <c r="D1030" s="2527" t="s">
        <v>257</v>
      </c>
      <c r="E1030" s="2528"/>
      <c r="F1030" s="2528"/>
      <c r="G1030" s="2528"/>
      <c r="H1030" s="2528"/>
      <c r="I1030" s="2529"/>
      <c r="J1030" s="2488">
        <f>VLOOKUP(A1032,'11 - FINANCEIRA'!_xlnm.Print_Area,30,FALSE)</f>
        <v>1</v>
      </c>
      <c r="K1030" s="2489"/>
      <c r="L1030" s="309" t="str">
        <f>VLOOKUP(A1032,'11 - FINANCEIRA'!_xlnm.Print_Area,4,FALSE)</f>
        <v>un</v>
      </c>
      <c r="M1030" s="2556" t="s">
        <v>258</v>
      </c>
      <c r="N1030" s="2557"/>
      <c r="O1030" s="2557"/>
      <c r="P1030" s="2557"/>
      <c r="Q1030" s="2558"/>
      <c r="R1030" s="248">
        <f>SUM(R1027:R1029)</f>
        <v>0</v>
      </c>
      <c r="S1030" s="310" t="str">
        <f>L1030</f>
        <v>un</v>
      </c>
      <c r="T1030" s="244"/>
      <c r="U1030" s="245"/>
      <c r="V1030" s="174">
        <f t="shared" si="136"/>
        <v>0</v>
      </c>
    </row>
    <row r="1031" spans="1:27" s="40" customFormat="1" hidden="1">
      <c r="A1031" s="1106" t="s">
        <v>84</v>
      </c>
      <c r="B1031" s="246"/>
      <c r="C1031" s="247"/>
      <c r="D1031" s="2521" t="s">
        <v>259</v>
      </c>
      <c r="E1031" s="2522"/>
      <c r="F1031" s="2522"/>
      <c r="G1031" s="2522"/>
      <c r="H1031" s="2522"/>
      <c r="I1031" s="2523"/>
      <c r="J1031" s="2515">
        <f>R1030/J1030</f>
        <v>0</v>
      </c>
      <c r="K1031" s="2516"/>
      <c r="L1031" s="2554"/>
      <c r="M1031" s="2556" t="s">
        <v>260</v>
      </c>
      <c r="N1031" s="2557"/>
      <c r="O1031" s="2557"/>
      <c r="P1031" s="2557"/>
      <c r="Q1031" s="2558"/>
      <c r="R1031" s="248">
        <f>VLOOKUP(A1032,'11 - FINANCEIRA'!_xlnm.Print_Area,8,FALSE)</f>
        <v>0</v>
      </c>
      <c r="S1031" s="249" t="str">
        <f>L1030</f>
        <v>un</v>
      </c>
      <c r="T1031" s="244"/>
      <c r="U1031" s="245"/>
      <c r="V1031" s="174">
        <f t="shared" si="136"/>
        <v>0</v>
      </c>
    </row>
    <row r="1032" spans="1:27" s="40" customFormat="1" hidden="1">
      <c r="A1032" s="1106" t="s">
        <v>85</v>
      </c>
      <c r="B1032" s="246"/>
      <c r="C1032" s="240"/>
      <c r="D1032" s="2524"/>
      <c r="E1032" s="2525"/>
      <c r="F1032" s="2525"/>
      <c r="G1032" s="2525"/>
      <c r="H1032" s="2525"/>
      <c r="I1032" s="2526"/>
      <c r="J1032" s="2519"/>
      <c r="K1032" s="2520"/>
      <c r="L1032" s="2570"/>
      <c r="M1032" s="2574" t="s">
        <v>261</v>
      </c>
      <c r="N1032" s="2575"/>
      <c r="O1032" s="2575"/>
      <c r="P1032" s="2575"/>
      <c r="Q1032" s="2576"/>
      <c r="R1032" s="251">
        <f>R1030-R1031</f>
        <v>0</v>
      </c>
      <c r="S1032" s="252" t="str">
        <f>L1030</f>
        <v>un</v>
      </c>
      <c r="T1032" s="244"/>
      <c r="U1032" s="245"/>
      <c r="V1032" s="174">
        <f>R1032</f>
        <v>0</v>
      </c>
    </row>
    <row r="1033" spans="1:27" s="40" customFormat="1" hidden="1">
      <c r="A1033" s="1106"/>
      <c r="B1033" s="311"/>
      <c r="C1033" s="312"/>
      <c r="D1033" s="313"/>
      <c r="E1033" s="314"/>
      <c r="F1033" s="313"/>
      <c r="G1033" s="313"/>
      <c r="H1033" s="313"/>
      <c r="I1033" s="313"/>
      <c r="J1033" s="315"/>
      <c r="K1033" s="316"/>
      <c r="L1033" s="317"/>
      <c r="M1033" s="318"/>
      <c r="N1033" s="318"/>
      <c r="O1033" s="318"/>
      <c r="P1033" s="318"/>
      <c r="Q1033" s="318"/>
      <c r="R1033" s="319"/>
      <c r="S1033" s="320"/>
      <c r="T1033" s="321"/>
      <c r="U1033" s="322"/>
      <c r="V1033" s="265" t="e">
        <f>SUM(V1025:V1032)</f>
        <v>#REF!</v>
      </c>
    </row>
    <row r="1034" spans="1:27" s="176" customFormat="1">
      <c r="A1034" s="1106"/>
      <c r="B1034" s="2463">
        <f>VLOOKUP(A1042,'11 - FINANCEIRA'!_xlnm.Print_Area,2,FALSE)</f>
        <v>97121</v>
      </c>
      <c r="C1034" s="2629" t="str">
        <f>VLOOKUP(A1042,'11 - FINANCEIRA'!_xlnm.Print_Area,3,FALSE)</f>
        <v>Assentamento de tubo de PVC PBA para rede de água DN 50 mm junta elástica integrada, instalado em local com nível alto de interferências (não inclui fornecimento) AF_11/2017</v>
      </c>
      <c r="D1034" s="2472" t="s">
        <v>242</v>
      </c>
      <c r="E1034" s="2473"/>
      <c r="F1034" s="2473"/>
      <c r="G1034" s="2473"/>
      <c r="H1034" s="2473"/>
      <c r="I1034" s="2474"/>
      <c r="J1034" s="2467" t="s">
        <v>373</v>
      </c>
      <c r="K1034" s="2467" t="s">
        <v>244</v>
      </c>
      <c r="L1034" s="2467" t="s">
        <v>245</v>
      </c>
      <c r="M1034" s="2467" t="s">
        <v>246</v>
      </c>
      <c r="N1034" s="2467" t="s">
        <v>247</v>
      </c>
      <c r="O1034" s="2467" t="s">
        <v>248</v>
      </c>
      <c r="P1034" s="173" t="s">
        <v>249</v>
      </c>
      <c r="Q1034" s="2467" t="s">
        <v>250</v>
      </c>
      <c r="R1034" s="2579" t="s">
        <v>139</v>
      </c>
      <c r="S1034" s="2467" t="s">
        <v>251</v>
      </c>
      <c r="T1034" s="2467" t="s">
        <v>252</v>
      </c>
      <c r="U1034" s="2584" t="s">
        <v>253</v>
      </c>
      <c r="V1034" s="174">
        <f t="shared" ref="V1034:V1041" si="137">V1035</f>
        <v>242</v>
      </c>
      <c r="W1034" s="175"/>
      <c r="X1034" s="175"/>
      <c r="Y1034" s="175"/>
      <c r="Z1034" s="175"/>
      <c r="AA1034" s="175"/>
    </row>
    <row r="1035" spans="1:27" s="176" customFormat="1">
      <c r="A1035" s="1106"/>
      <c r="B1035" s="2464" t="e">
        <f>LEFT(#REF!,5)</f>
        <v>#REF!</v>
      </c>
      <c r="C1035" s="2630" t="e">
        <f>VLOOKUP(LEFT(#REF!,5),'11 - FINANCEIRA'!_xlnm.Print_Area,2,FALSE)</f>
        <v>#REF!</v>
      </c>
      <c r="D1035" s="2475" t="s">
        <v>254</v>
      </c>
      <c r="E1035" s="2476"/>
      <c r="F1035" s="2477"/>
      <c r="G1035" s="2469" t="s">
        <v>255</v>
      </c>
      <c r="H1035" s="2470"/>
      <c r="I1035" s="2471"/>
      <c r="J1035" s="2468"/>
      <c r="K1035" s="2468"/>
      <c r="L1035" s="2468"/>
      <c r="M1035" s="2468"/>
      <c r="N1035" s="2468"/>
      <c r="O1035" s="2468"/>
      <c r="P1035" s="177" t="s">
        <v>256</v>
      </c>
      <c r="Q1035" s="2468"/>
      <c r="R1035" s="2580"/>
      <c r="S1035" s="2468"/>
      <c r="T1035" s="2468"/>
      <c r="U1035" s="2585"/>
      <c r="V1035" s="174">
        <f t="shared" si="137"/>
        <v>242</v>
      </c>
      <c r="W1035" s="175"/>
      <c r="X1035" s="175"/>
      <c r="Y1035" s="175"/>
      <c r="Z1035" s="175"/>
      <c r="AA1035" s="175"/>
    </row>
    <row r="1036" spans="1:27" s="176" customFormat="1">
      <c r="A1036" s="1106"/>
      <c r="B1036" s="178"/>
      <c r="C1036" s="266" t="s">
        <v>376</v>
      </c>
      <c r="D1036" s="469">
        <v>1</v>
      </c>
      <c r="E1036" s="470" t="s">
        <v>299</v>
      </c>
      <c r="F1036" s="486">
        <v>18.34</v>
      </c>
      <c r="G1036" s="472">
        <v>2</v>
      </c>
      <c r="H1036" s="473" t="s">
        <v>299</v>
      </c>
      <c r="I1036" s="488">
        <v>9.34</v>
      </c>
      <c r="J1036" s="275"/>
      <c r="K1036" s="489">
        <f>(G1036-D1036)*20+I1036-F1036</f>
        <v>11</v>
      </c>
      <c r="L1036" s="275"/>
      <c r="M1036" s="275"/>
      <c r="N1036" s="275"/>
      <c r="O1036" s="275"/>
      <c r="P1036" s="338"/>
      <c r="Q1036" s="275"/>
      <c r="R1036" s="191">
        <f>K1036</f>
        <v>11</v>
      </c>
      <c r="S1036" s="275" t="s">
        <v>144</v>
      </c>
      <c r="T1036" s="276">
        <v>2</v>
      </c>
      <c r="U1036" s="1504" t="s">
        <v>377</v>
      </c>
      <c r="V1036" s="174">
        <f t="shared" si="137"/>
        <v>242</v>
      </c>
      <c r="W1036" s="175"/>
      <c r="X1036" s="175"/>
      <c r="Y1036" s="175"/>
      <c r="Z1036" s="175"/>
      <c r="AA1036" s="175"/>
    </row>
    <row r="1037" spans="1:27" s="176" customFormat="1">
      <c r="A1037" s="1110"/>
      <c r="B1037" s="296"/>
      <c r="C1037" s="339" t="s">
        <v>376</v>
      </c>
      <c r="D1037" s="560">
        <v>0</v>
      </c>
      <c r="E1037" s="464" t="s">
        <v>299</v>
      </c>
      <c r="F1037" s="498">
        <v>0</v>
      </c>
      <c r="G1037" s="458">
        <v>0</v>
      </c>
      <c r="H1037" s="459" t="s">
        <v>299</v>
      </c>
      <c r="I1037" s="545">
        <v>18</v>
      </c>
      <c r="J1037" s="340"/>
      <c r="K1037" s="496">
        <v>18</v>
      </c>
      <c r="L1037" s="340"/>
      <c r="M1037" s="463"/>
      <c r="N1037" s="464"/>
      <c r="O1037" s="560"/>
      <c r="P1037" s="461"/>
      <c r="Q1037" s="463"/>
      <c r="R1037" s="462">
        <v>18</v>
      </c>
      <c r="S1037" s="340" t="s">
        <v>144</v>
      </c>
      <c r="T1037" s="347">
        <v>8</v>
      </c>
      <c r="U1037" s="341"/>
      <c r="V1037" s="306">
        <f>V1049</f>
        <v>242</v>
      </c>
      <c r="W1037" s="175"/>
      <c r="X1037" s="175"/>
      <c r="Y1037" s="175"/>
      <c r="Z1037" s="175"/>
      <c r="AA1037" s="175"/>
    </row>
    <row r="1038" spans="1:27" s="176" customFormat="1">
      <c r="A1038" s="1110"/>
      <c r="B1038" s="767"/>
      <c r="C1038" s="510" t="s">
        <v>376</v>
      </c>
      <c r="D1038" s="561">
        <v>31</v>
      </c>
      <c r="E1038" s="864" t="s">
        <v>299</v>
      </c>
      <c r="F1038" s="437">
        <v>12</v>
      </c>
      <c r="G1038" s="866">
        <v>43</v>
      </c>
      <c r="H1038" s="807" t="s">
        <v>299</v>
      </c>
      <c r="I1038" s="1467">
        <v>14</v>
      </c>
      <c r="J1038" s="438"/>
      <c r="K1038" s="439">
        <f>(G1038-D1038)*20+I1038-F1038</f>
        <v>242</v>
      </c>
      <c r="L1038" s="438"/>
      <c r="M1038" s="865"/>
      <c r="N1038" s="864"/>
      <c r="O1038" s="561"/>
      <c r="P1038" s="453"/>
      <c r="Q1038" s="865"/>
      <c r="R1038" s="454">
        <f>K1038</f>
        <v>242</v>
      </c>
      <c r="S1038" s="438" t="s">
        <v>144</v>
      </c>
      <c r="T1038" s="441">
        <v>28</v>
      </c>
      <c r="U1038" s="1164" t="s">
        <v>1168</v>
      </c>
      <c r="V1038" s="306">
        <f>V1050</f>
        <v>242</v>
      </c>
      <c r="W1038" s="175"/>
      <c r="X1038" s="175"/>
      <c r="Y1038" s="175"/>
      <c r="Z1038" s="175"/>
      <c r="AA1038" s="175"/>
    </row>
    <row r="1039" spans="1:27" s="222" customFormat="1">
      <c r="A1039" s="1106"/>
      <c r="B1039" s="223"/>
      <c r="C1039" s="224"/>
      <c r="D1039" s="225"/>
      <c r="E1039" s="226"/>
      <c r="F1039" s="227"/>
      <c r="G1039" s="225"/>
      <c r="H1039" s="226"/>
      <c r="I1039" s="227"/>
      <c r="J1039" s="228"/>
      <c r="K1039" s="603"/>
      <c r="L1039" s="230"/>
      <c r="M1039" s="231"/>
      <c r="N1039" s="232"/>
      <c r="O1039" s="233"/>
      <c r="P1039" s="230"/>
      <c r="Q1039" s="234"/>
      <c r="R1039" s="235"/>
      <c r="S1039" s="236"/>
      <c r="T1039" s="294"/>
      <c r="U1039" s="238"/>
      <c r="V1039" s="174">
        <f t="shared" si="137"/>
        <v>242</v>
      </c>
    </row>
    <row r="1040" spans="1:27" s="40" customFormat="1">
      <c r="A1040" s="1106"/>
      <c r="B1040" s="1123"/>
      <c r="C1040" s="240"/>
      <c r="D1040" s="2527" t="s">
        <v>257</v>
      </c>
      <c r="E1040" s="2528"/>
      <c r="F1040" s="2528"/>
      <c r="G1040" s="2528"/>
      <c r="H1040" s="2528"/>
      <c r="I1040" s="2529"/>
      <c r="J1040" s="2488">
        <f>VLOOKUP(A1042,'11 - FINANCEIRA'!_xlnm.Print_Area,30,FALSE)</f>
        <v>274.48</v>
      </c>
      <c r="K1040" s="2489"/>
      <c r="L1040" s="309" t="str">
        <f>VLOOKUP(A1042,'11 - FINANCEIRA'!_xlnm.Print_Area,4,FALSE)</f>
        <v>m</v>
      </c>
      <c r="M1040" s="2556" t="s">
        <v>258</v>
      </c>
      <c r="N1040" s="2557"/>
      <c r="O1040" s="2557"/>
      <c r="P1040" s="2557"/>
      <c r="Q1040" s="2558"/>
      <c r="R1040" s="248">
        <f>SUM(R1036:R1039)</f>
        <v>271</v>
      </c>
      <c r="S1040" s="310" t="str">
        <f>L1040</f>
        <v>m</v>
      </c>
      <c r="T1040" s="244"/>
      <c r="U1040" s="1124"/>
      <c r="V1040" s="174">
        <f t="shared" si="137"/>
        <v>242</v>
      </c>
    </row>
    <row r="1041" spans="1:27" s="40" customFormat="1">
      <c r="A1041" s="1106"/>
      <c r="B1041" s="1123"/>
      <c r="C1041" s="2182"/>
      <c r="D1041" s="2521" t="s">
        <v>259</v>
      </c>
      <c r="E1041" s="2522"/>
      <c r="F1041" s="2522"/>
      <c r="G1041" s="2522"/>
      <c r="H1041" s="2522"/>
      <c r="I1041" s="2523"/>
      <c r="J1041" s="2515">
        <f>R1040/J1040</f>
        <v>0.9873214806178956</v>
      </c>
      <c r="K1041" s="2516"/>
      <c r="L1041" s="2554"/>
      <c r="M1041" s="2556" t="s">
        <v>260</v>
      </c>
      <c r="N1041" s="2557"/>
      <c r="O1041" s="2557"/>
      <c r="P1041" s="2557"/>
      <c r="Q1041" s="2558"/>
      <c r="R1041" s="248">
        <f>VLOOKUP(A1042,'11 - FINANCEIRA'!_xlnm.Print_Area,8,FALSE)</f>
        <v>29</v>
      </c>
      <c r="S1041" s="249" t="str">
        <f>L1040</f>
        <v>m</v>
      </c>
      <c r="T1041" s="244"/>
      <c r="U1041" s="1124"/>
      <c r="V1041" s="174">
        <f t="shared" si="137"/>
        <v>242</v>
      </c>
    </row>
    <row r="1042" spans="1:27" s="40" customFormat="1">
      <c r="A1042" s="1106" t="s">
        <v>86</v>
      </c>
      <c r="B1042" s="250"/>
      <c r="C1042" s="598"/>
      <c r="D1042" s="2539"/>
      <c r="E1042" s="2540"/>
      <c r="F1042" s="2540"/>
      <c r="G1042" s="2540"/>
      <c r="H1042" s="2540"/>
      <c r="I1042" s="2541"/>
      <c r="J1042" s="2517"/>
      <c r="K1042" s="2518"/>
      <c r="L1042" s="2555"/>
      <c r="M1042" s="2556" t="s">
        <v>261</v>
      </c>
      <c r="N1042" s="2557"/>
      <c r="O1042" s="2557"/>
      <c r="P1042" s="2557"/>
      <c r="Q1042" s="2558"/>
      <c r="R1042" s="248">
        <f>R1040-R1041</f>
        <v>242</v>
      </c>
      <c r="S1042" s="249" t="str">
        <f>L1040</f>
        <v>m</v>
      </c>
      <c r="T1042" s="562"/>
      <c r="U1042" s="563"/>
      <c r="V1042" s="174">
        <f>R1042</f>
        <v>242</v>
      </c>
    </row>
    <row r="1043" spans="1:27" s="40" customFormat="1" hidden="1">
      <c r="A1043" s="1106"/>
      <c r="B1043" s="253"/>
      <c r="C1043" s="2062"/>
      <c r="D1043" s="2063"/>
      <c r="E1043" s="2064"/>
      <c r="F1043" s="2063"/>
      <c r="G1043" s="2063"/>
      <c r="H1043" s="2063"/>
      <c r="I1043" s="2063"/>
      <c r="J1043" s="2065"/>
      <c r="K1043" s="2066"/>
      <c r="L1043" s="2067"/>
      <c r="M1043" s="2068"/>
      <c r="N1043" s="2068"/>
      <c r="O1043" s="2068"/>
      <c r="P1043" s="2068"/>
      <c r="Q1043" s="2068"/>
      <c r="R1043" s="2069"/>
      <c r="S1043" s="2070"/>
      <c r="T1043" s="562"/>
      <c r="U1043" s="563"/>
      <c r="V1043" s="265">
        <f>SUM(V1034:V1042)</f>
        <v>2178</v>
      </c>
    </row>
    <row r="1044" spans="1:27" s="176" customFormat="1" hidden="1">
      <c r="A1044" s="1106"/>
      <c r="B1044" s="2463">
        <f>VLOOKUP(A1054,'11 - FINANCEIRA'!_xlnm.Print_Area,2,FALSE)</f>
        <v>36378</v>
      </c>
      <c r="C1044" s="2641" t="str">
        <f>VLOOKUP(A1054,'11 - FINANCEIRA'!_xlnm.Print_Area,3,FALSE)</f>
        <v>Tubo de PVC PBA JEI, classe 20,DN 50mm, para rede de água (NBR 5647)</v>
      </c>
      <c r="D1044" s="2472" t="s">
        <v>242</v>
      </c>
      <c r="E1044" s="2473"/>
      <c r="F1044" s="2473"/>
      <c r="G1044" s="2473"/>
      <c r="H1044" s="2473"/>
      <c r="I1044" s="2474"/>
      <c r="J1044" s="2467" t="s">
        <v>373</v>
      </c>
      <c r="K1044" s="2467" t="s">
        <v>244</v>
      </c>
      <c r="L1044" s="2467" t="s">
        <v>245</v>
      </c>
      <c r="M1044" s="2467" t="s">
        <v>246</v>
      </c>
      <c r="N1044" s="2467" t="s">
        <v>247</v>
      </c>
      <c r="O1044" s="2467" t="s">
        <v>248</v>
      </c>
      <c r="P1044" s="2467" t="s">
        <v>348</v>
      </c>
      <c r="Q1044" s="2467" t="s">
        <v>250</v>
      </c>
      <c r="R1044" s="2579" t="s">
        <v>139</v>
      </c>
      <c r="S1044" s="2467" t="s">
        <v>251</v>
      </c>
      <c r="T1044" s="2467" t="s">
        <v>252</v>
      </c>
      <c r="U1044" s="2584" t="s">
        <v>253</v>
      </c>
      <c r="V1044" s="174">
        <f t="shared" ref="V1044:V1053" si="138">V1045</f>
        <v>242</v>
      </c>
      <c r="W1044" s="175"/>
      <c r="X1044" s="175"/>
      <c r="Y1044" s="175"/>
      <c r="Z1044" s="175"/>
      <c r="AA1044" s="175"/>
    </row>
    <row r="1045" spans="1:27" s="176" customFormat="1" hidden="1">
      <c r="A1045" s="1106"/>
      <c r="B1045" s="2640" t="e">
        <f>LEFT(#REF!,5)</f>
        <v>#REF!</v>
      </c>
      <c r="C1045" s="2642" t="e">
        <f>VLOOKUP(LEFT(#REF!,5),'11 - FINANCEIRA'!_xlnm.Print_Area,2,FALSE)</f>
        <v>#REF!</v>
      </c>
      <c r="D1045" s="2634" t="s">
        <v>254</v>
      </c>
      <c r="E1045" s="2635"/>
      <c r="F1045" s="2636"/>
      <c r="G1045" s="2637" t="s">
        <v>255</v>
      </c>
      <c r="H1045" s="2638"/>
      <c r="I1045" s="2639"/>
      <c r="J1045" s="2632"/>
      <c r="K1045" s="2632"/>
      <c r="L1045" s="2632"/>
      <c r="M1045" s="2632"/>
      <c r="N1045" s="2632"/>
      <c r="O1045" s="2632"/>
      <c r="P1045" s="2632" t="s">
        <v>256</v>
      </c>
      <c r="Q1045" s="2632"/>
      <c r="R1045" s="2631"/>
      <c r="S1045" s="2632"/>
      <c r="T1045" s="2632"/>
      <c r="U1045" s="2633"/>
      <c r="V1045" s="174">
        <f t="shared" si="138"/>
        <v>242</v>
      </c>
      <c r="W1045" s="175"/>
      <c r="X1045" s="175"/>
      <c r="Y1045" s="175"/>
      <c r="Z1045" s="175"/>
      <c r="AA1045" s="175"/>
    </row>
    <row r="1046" spans="1:27" s="176" customFormat="1" ht="30" hidden="1">
      <c r="A1046" s="1106"/>
      <c r="B1046" s="195"/>
      <c r="C1046" s="339" t="s">
        <v>223</v>
      </c>
      <c r="D1046" s="496">
        <v>1</v>
      </c>
      <c r="E1046" s="464" t="s">
        <v>299</v>
      </c>
      <c r="F1046" s="463">
        <v>18.34</v>
      </c>
      <c r="G1046" s="533">
        <v>2</v>
      </c>
      <c r="H1046" s="459" t="s">
        <v>299</v>
      </c>
      <c r="I1046" s="460">
        <v>9.34</v>
      </c>
      <c r="J1046" s="340"/>
      <c r="K1046" s="434">
        <v>11</v>
      </c>
      <c r="L1046" s="340"/>
      <c r="M1046" s="340"/>
      <c r="N1046" s="340"/>
      <c r="O1046" s="340"/>
      <c r="P1046" s="461"/>
      <c r="Q1046" s="340"/>
      <c r="R1046" s="462">
        <f>K1046</f>
        <v>11</v>
      </c>
      <c r="S1046" s="340" t="s">
        <v>144</v>
      </c>
      <c r="T1046" s="347">
        <v>2</v>
      </c>
      <c r="U1046" s="205"/>
      <c r="V1046" s="174">
        <f t="shared" si="138"/>
        <v>242</v>
      </c>
      <c r="W1046" s="175"/>
      <c r="X1046" s="175"/>
      <c r="Y1046" s="175"/>
      <c r="Z1046" s="175"/>
      <c r="AA1046" s="175"/>
    </row>
    <row r="1047" spans="1:27" s="176" customFormat="1" ht="30" hidden="1">
      <c r="A1047" s="1110"/>
      <c r="B1047" s="296"/>
      <c r="C1047" s="339" t="s">
        <v>223</v>
      </c>
      <c r="D1047" s="560">
        <v>0</v>
      </c>
      <c r="E1047" s="464" t="s">
        <v>299</v>
      </c>
      <c r="F1047" s="498">
        <v>0</v>
      </c>
      <c r="G1047" s="458">
        <v>0</v>
      </c>
      <c r="H1047" s="459" t="s">
        <v>299</v>
      </c>
      <c r="I1047" s="545">
        <v>18</v>
      </c>
      <c r="J1047" s="340"/>
      <c r="K1047" s="496">
        <v>18</v>
      </c>
      <c r="L1047" s="340"/>
      <c r="M1047" s="463"/>
      <c r="N1047" s="464"/>
      <c r="O1047" s="560"/>
      <c r="P1047" s="461"/>
      <c r="Q1047" s="463"/>
      <c r="R1047" s="462">
        <v>18</v>
      </c>
      <c r="S1047" s="340" t="s">
        <v>144</v>
      </c>
      <c r="T1047" s="347">
        <v>8</v>
      </c>
      <c r="U1047" s="341"/>
      <c r="V1047" s="306">
        <f t="shared" si="138"/>
        <v>242</v>
      </c>
      <c r="W1047" s="175"/>
      <c r="X1047" s="175"/>
      <c r="Y1047" s="175"/>
      <c r="Z1047" s="175"/>
      <c r="AA1047" s="175"/>
    </row>
    <row r="1048" spans="1:27" s="176" customFormat="1" ht="30" hidden="1">
      <c r="A1048" s="1110"/>
      <c r="B1048" s="296"/>
      <c r="C1048" s="339" t="s">
        <v>223</v>
      </c>
      <c r="D1048" s="533">
        <v>24</v>
      </c>
      <c r="E1048" s="649" t="s">
        <v>299</v>
      </c>
      <c r="F1048" s="545">
        <v>4</v>
      </c>
      <c r="G1048" s="533">
        <v>25</v>
      </c>
      <c r="H1048" s="649" t="s">
        <v>299</v>
      </c>
      <c r="I1048" s="545">
        <v>14</v>
      </c>
      <c r="J1048" s="434" t="s">
        <v>300</v>
      </c>
      <c r="K1048" s="434">
        <f>(G1048-D1048)*20+I1048-F1048</f>
        <v>30</v>
      </c>
      <c r="L1048" s="340"/>
      <c r="M1048" s="463"/>
      <c r="N1048" s="464"/>
      <c r="O1048" s="560"/>
      <c r="P1048" s="461"/>
      <c r="Q1048" s="463"/>
      <c r="R1048" s="462">
        <f>K1048</f>
        <v>30</v>
      </c>
      <c r="S1048" s="340" t="s">
        <v>144</v>
      </c>
      <c r="T1048" s="347">
        <v>18</v>
      </c>
      <c r="U1048" s="341"/>
      <c r="V1048" s="306">
        <f>V1050</f>
        <v>242</v>
      </c>
      <c r="W1048" s="175"/>
      <c r="X1048" s="175"/>
      <c r="Y1048" s="175"/>
      <c r="Z1048" s="175"/>
      <c r="AA1048" s="175"/>
    </row>
    <row r="1049" spans="1:27" s="176" customFormat="1" hidden="1">
      <c r="A1049" s="1110"/>
      <c r="B1049" s="296"/>
      <c r="C1049" s="339" t="s">
        <v>376</v>
      </c>
      <c r="D1049" s="560">
        <v>25</v>
      </c>
      <c r="E1049" s="464" t="s">
        <v>299</v>
      </c>
      <c r="F1049" s="498">
        <v>16</v>
      </c>
      <c r="G1049" s="458">
        <v>31</v>
      </c>
      <c r="H1049" s="459" t="s">
        <v>299</v>
      </c>
      <c r="I1049" s="545">
        <v>12</v>
      </c>
      <c r="J1049" s="434" t="s">
        <v>300</v>
      </c>
      <c r="K1049" s="434">
        <f>(G1049-D1049)*20+I1049-F1049</f>
        <v>116</v>
      </c>
      <c r="L1049" s="340"/>
      <c r="M1049" s="463"/>
      <c r="N1049" s="464"/>
      <c r="O1049" s="560"/>
      <c r="P1049" s="461"/>
      <c r="Q1049" s="463"/>
      <c r="R1049" s="462">
        <v>30</v>
      </c>
      <c r="S1049" s="340" t="s">
        <v>144</v>
      </c>
      <c r="T1049" s="347">
        <v>23</v>
      </c>
      <c r="U1049" s="408" t="s">
        <v>936</v>
      </c>
      <c r="V1049" s="306">
        <f>V1039</f>
        <v>242</v>
      </c>
      <c r="W1049" s="175"/>
      <c r="X1049" s="175"/>
      <c r="Y1049" s="175"/>
      <c r="Z1049" s="175"/>
      <c r="AA1049" s="175"/>
    </row>
    <row r="1050" spans="1:27" s="176" customFormat="1" hidden="1">
      <c r="A1050" s="1110"/>
      <c r="B1050" s="296"/>
      <c r="C1050" s="820" t="s">
        <v>376</v>
      </c>
      <c r="D1050" s="560">
        <v>31</v>
      </c>
      <c r="E1050" s="464" t="s">
        <v>299</v>
      </c>
      <c r="F1050" s="498">
        <v>12</v>
      </c>
      <c r="G1050" s="458">
        <v>41</v>
      </c>
      <c r="H1050" s="459" t="s">
        <v>299</v>
      </c>
      <c r="I1050" s="545">
        <v>0</v>
      </c>
      <c r="J1050" s="434" t="s">
        <v>300</v>
      </c>
      <c r="K1050" s="434">
        <f>(G1050-D1050)*20+I1050-F1050</f>
        <v>188</v>
      </c>
      <c r="L1050" s="340"/>
      <c r="M1050" s="463"/>
      <c r="N1050" s="464"/>
      <c r="O1050" s="560"/>
      <c r="P1050" s="461"/>
      <c r="Q1050" s="463"/>
      <c r="R1050" s="462">
        <v>185.45</v>
      </c>
      <c r="S1050" s="340" t="s">
        <v>144</v>
      </c>
      <c r="T1050" s="347">
        <v>27</v>
      </c>
      <c r="U1050" s="408" t="s">
        <v>936</v>
      </c>
      <c r="V1050" s="306">
        <f>V1040</f>
        <v>242</v>
      </c>
      <c r="W1050" s="175"/>
      <c r="X1050" s="175"/>
      <c r="Y1050" s="175"/>
      <c r="Z1050" s="175"/>
      <c r="AA1050" s="175"/>
    </row>
    <row r="1051" spans="1:27" s="765" customFormat="1" hidden="1">
      <c r="A1051" s="1771"/>
      <c r="B1051" s="1515"/>
      <c r="C1051" s="1457"/>
      <c r="D1051" s="872"/>
      <c r="E1051" s="898"/>
      <c r="F1051" s="870"/>
      <c r="G1051" s="1469"/>
      <c r="H1051" s="1410"/>
      <c r="I1051" s="973"/>
      <c r="J1051" s="871"/>
      <c r="K1051" s="546"/>
      <c r="L1051" s="760"/>
      <c r="M1051" s="899"/>
      <c r="N1051" s="898"/>
      <c r="O1051" s="872"/>
      <c r="P1051" s="873"/>
      <c r="Q1051" s="899"/>
      <c r="R1051" s="616"/>
      <c r="S1051" s="760"/>
      <c r="T1051" s="874"/>
      <c r="U1051" s="1664"/>
      <c r="V1051" s="713"/>
      <c r="W1051" s="688"/>
      <c r="X1051" s="688"/>
      <c r="Y1051" s="688"/>
      <c r="Z1051" s="688"/>
      <c r="AA1051" s="688"/>
    </row>
    <row r="1052" spans="1:27" s="40" customFormat="1" hidden="1">
      <c r="A1052" s="1106"/>
      <c r="B1052" s="239"/>
      <c r="C1052" s="1603"/>
      <c r="D1052" s="2527" t="s">
        <v>257</v>
      </c>
      <c r="E1052" s="2528"/>
      <c r="F1052" s="2528"/>
      <c r="G1052" s="2528"/>
      <c r="H1052" s="2528"/>
      <c r="I1052" s="2529"/>
      <c r="J1052" s="2490">
        <f>VLOOKUP(A1054,'11 - FINANCEIRA'!$A$16:$AE$156,30,FALSE)</f>
        <v>274.48</v>
      </c>
      <c r="K1052" s="2491"/>
      <c r="L1052" s="309" t="str">
        <f>VLOOKUP(A1054,'11 - FINANCEIRA'!_xlnm.Print_Area,4,FALSE)</f>
        <v>m</v>
      </c>
      <c r="M1052" s="2556" t="s">
        <v>258</v>
      </c>
      <c r="N1052" s="2557"/>
      <c r="O1052" s="2557"/>
      <c r="P1052" s="2557"/>
      <c r="Q1052" s="2558"/>
      <c r="R1052" s="248">
        <f>SUM(R1046:R1051)</f>
        <v>274.45</v>
      </c>
      <c r="S1052" s="310" t="str">
        <f>L1052</f>
        <v>m</v>
      </c>
      <c r="T1052" s="321"/>
      <c r="U1052" s="322"/>
      <c r="V1052" s="174">
        <f t="shared" si="138"/>
        <v>0</v>
      </c>
    </row>
    <row r="1053" spans="1:27" s="40" customFormat="1" hidden="1">
      <c r="A1053" s="1106"/>
      <c r="B1053" s="246"/>
      <c r="C1053" s="247"/>
      <c r="D1053" s="2521" t="s">
        <v>259</v>
      </c>
      <c r="E1053" s="2522"/>
      <c r="F1053" s="2522"/>
      <c r="G1053" s="2522"/>
      <c r="H1053" s="2522"/>
      <c r="I1053" s="2523"/>
      <c r="J1053" s="2515">
        <f>R1052/J1052</f>
        <v>0.9998907024191197</v>
      </c>
      <c r="K1053" s="2516"/>
      <c r="L1053" s="2554"/>
      <c r="M1053" s="2556" t="s">
        <v>260</v>
      </c>
      <c r="N1053" s="2557"/>
      <c r="O1053" s="2557"/>
      <c r="P1053" s="2557"/>
      <c r="Q1053" s="2558"/>
      <c r="R1053" s="248">
        <f>VLOOKUP(A1054,'11 - FINANCEIRA'!_xlnm.Print_Area,8,FALSE)</f>
        <v>274.45</v>
      </c>
      <c r="S1053" s="249" t="str">
        <f>L1052</f>
        <v>m</v>
      </c>
      <c r="T1053" s="244"/>
      <c r="U1053" s="245"/>
      <c r="V1053" s="174">
        <f t="shared" si="138"/>
        <v>0</v>
      </c>
    </row>
    <row r="1054" spans="1:27" s="40" customFormat="1" hidden="1">
      <c r="A1054" s="1106" t="s">
        <v>87</v>
      </c>
      <c r="B1054" s="246"/>
      <c r="C1054" s="240"/>
      <c r="D1054" s="2524"/>
      <c r="E1054" s="2525"/>
      <c r="F1054" s="2525"/>
      <c r="G1054" s="2525"/>
      <c r="H1054" s="2525"/>
      <c r="I1054" s="2526"/>
      <c r="J1054" s="2519"/>
      <c r="K1054" s="2520"/>
      <c r="L1054" s="2570"/>
      <c r="M1054" s="2574" t="s">
        <v>261</v>
      </c>
      <c r="N1054" s="2575"/>
      <c r="O1054" s="2575"/>
      <c r="P1054" s="2575"/>
      <c r="Q1054" s="2576"/>
      <c r="R1054" s="251">
        <f>R1052-R1053</f>
        <v>0</v>
      </c>
      <c r="S1054" s="252" t="str">
        <f>L1052</f>
        <v>m</v>
      </c>
      <c r="T1054" s="244"/>
      <c r="U1054" s="245"/>
      <c r="V1054" s="174">
        <f>R1054</f>
        <v>0</v>
      </c>
    </row>
    <row r="1055" spans="1:27" s="40" customFormat="1" hidden="1">
      <c r="A1055" s="1106"/>
      <c r="B1055" s="295"/>
      <c r="C1055" s="254"/>
      <c r="D1055" s="255"/>
      <c r="E1055" s="256"/>
      <c r="F1055" s="255"/>
      <c r="G1055" s="255"/>
      <c r="H1055" s="255"/>
      <c r="I1055" s="255"/>
      <c r="J1055" s="257"/>
      <c r="K1055" s="258"/>
      <c r="L1055" s="259"/>
      <c r="M1055" s="260"/>
      <c r="N1055" s="260"/>
      <c r="O1055" s="260"/>
      <c r="P1055" s="260"/>
      <c r="Q1055" s="260"/>
      <c r="R1055" s="261"/>
      <c r="S1055" s="262"/>
      <c r="T1055" s="263"/>
      <c r="U1055" s="264"/>
      <c r="V1055" s="265">
        <f>SUM(V1044:V1054)</f>
        <v>1694</v>
      </c>
    </row>
    <row r="1056" spans="1:27" s="176" customFormat="1" ht="45" hidden="1" customHeight="1">
      <c r="A1056" s="1104"/>
      <c r="B1056" s="2463">
        <f>VLOOKUP(A1064,'11 - FINANCEIRA'!_xlnm.Print_Area,2,FALSE)</f>
        <v>97123</v>
      </c>
      <c r="C1056" s="2629" t="str">
        <f>VLOOKUP(A1064,'11 - FINANCEIRA'!_xlnm.Print_Area,3,FALSE)</f>
        <v>Assentantamento de tubo de PVC PBA para rede de água . DN 100mm, junta elástica integrada, instalado em local com nível alto de interferência (não inclui fornecimento) AF_11/2017</v>
      </c>
      <c r="D1056" s="2472" t="s">
        <v>242</v>
      </c>
      <c r="E1056" s="2473"/>
      <c r="F1056" s="2473"/>
      <c r="G1056" s="2473"/>
      <c r="H1056" s="2473"/>
      <c r="I1056" s="2474"/>
      <c r="J1056" s="2467" t="s">
        <v>373</v>
      </c>
      <c r="K1056" s="2467" t="s">
        <v>244</v>
      </c>
      <c r="L1056" s="2467" t="s">
        <v>245</v>
      </c>
      <c r="M1056" s="2467" t="s">
        <v>246</v>
      </c>
      <c r="N1056" s="2467" t="s">
        <v>247</v>
      </c>
      <c r="O1056" s="2467" t="s">
        <v>248</v>
      </c>
      <c r="P1056" s="2467" t="s">
        <v>348</v>
      </c>
      <c r="Q1056" s="2467" t="s">
        <v>250</v>
      </c>
      <c r="R1056" s="2579" t="s">
        <v>139</v>
      </c>
      <c r="S1056" s="2467" t="s">
        <v>251</v>
      </c>
      <c r="T1056" s="2467" t="s">
        <v>252</v>
      </c>
      <c r="U1056" s="2584" t="s">
        <v>253</v>
      </c>
      <c r="V1056" s="174">
        <f t="shared" ref="V1056:V1063" si="139">V1057</f>
        <v>0</v>
      </c>
      <c r="W1056" s="175"/>
      <c r="X1056" s="175"/>
      <c r="Y1056" s="175"/>
      <c r="Z1056" s="175"/>
      <c r="AA1056" s="175"/>
    </row>
    <row r="1057" spans="1:27" s="176" customFormat="1" hidden="1">
      <c r="A1057" s="1104"/>
      <c r="B1057" s="2464" t="e">
        <f>LEFT(#REF!,5)</f>
        <v>#REF!</v>
      </c>
      <c r="C1057" s="2630" t="e">
        <f>VLOOKUP(LEFT(#REF!,5),'11 - FINANCEIRA'!_xlnm.Print_Area,2,FALSE)</f>
        <v>#REF!</v>
      </c>
      <c r="D1057" s="2475" t="s">
        <v>254</v>
      </c>
      <c r="E1057" s="2476"/>
      <c r="F1057" s="2477"/>
      <c r="G1057" s="2469" t="s">
        <v>255</v>
      </c>
      <c r="H1057" s="2470"/>
      <c r="I1057" s="2471"/>
      <c r="J1057" s="2468"/>
      <c r="K1057" s="2468"/>
      <c r="L1057" s="2468"/>
      <c r="M1057" s="2468"/>
      <c r="N1057" s="2468"/>
      <c r="O1057" s="2468"/>
      <c r="P1057" s="2468" t="s">
        <v>256</v>
      </c>
      <c r="Q1057" s="2468"/>
      <c r="R1057" s="2580"/>
      <c r="S1057" s="2468"/>
      <c r="T1057" s="2468"/>
      <c r="U1057" s="2585"/>
      <c r="V1057" s="174">
        <f t="shared" si="139"/>
        <v>0</v>
      </c>
      <c r="W1057" s="175"/>
      <c r="X1057" s="175"/>
      <c r="Y1057" s="175"/>
      <c r="Z1057" s="175"/>
      <c r="AA1057" s="175"/>
    </row>
    <row r="1058" spans="1:27" s="176" customFormat="1" hidden="1">
      <c r="A1058" s="1104"/>
      <c r="B1058" s="178"/>
      <c r="C1058" s="307"/>
      <c r="D1058" s="267"/>
      <c r="E1058" s="268"/>
      <c r="F1058" s="269"/>
      <c r="G1058" s="270"/>
      <c r="H1058" s="271"/>
      <c r="I1058" s="272"/>
      <c r="J1058" s="273"/>
      <c r="K1058" s="273"/>
      <c r="L1058" s="273"/>
      <c r="M1058" s="273"/>
      <c r="N1058" s="273"/>
      <c r="O1058" s="273"/>
      <c r="P1058" s="274"/>
      <c r="Q1058" s="273"/>
      <c r="R1058" s="308"/>
      <c r="S1058" s="273"/>
      <c r="T1058" s="276"/>
      <c r="U1058" s="194"/>
      <c r="V1058" s="174">
        <f t="shared" si="139"/>
        <v>0</v>
      </c>
      <c r="W1058" s="175"/>
      <c r="X1058" s="175"/>
      <c r="Y1058" s="175"/>
      <c r="Z1058" s="175"/>
      <c r="AA1058" s="175"/>
    </row>
    <row r="1059" spans="1:27" s="176" customFormat="1" hidden="1">
      <c r="A1059" s="1104"/>
      <c r="B1059" s="195"/>
      <c r="C1059" s="277"/>
      <c r="D1059" s="278"/>
      <c r="E1059" s="279"/>
      <c r="F1059" s="280"/>
      <c r="G1059" s="281"/>
      <c r="H1059" s="282"/>
      <c r="I1059" s="283"/>
      <c r="J1059" s="284"/>
      <c r="K1059" s="278"/>
      <c r="L1059" s="284"/>
      <c r="M1059" s="280"/>
      <c r="N1059" s="279"/>
      <c r="O1059" s="278"/>
      <c r="P1059" s="285"/>
      <c r="Q1059" s="280"/>
      <c r="R1059" s="203"/>
      <c r="S1059" s="284"/>
      <c r="T1059" s="286"/>
      <c r="U1059" s="205"/>
      <c r="V1059" s="174">
        <f t="shared" si="139"/>
        <v>0</v>
      </c>
      <c r="W1059" s="175"/>
      <c r="X1059" s="175"/>
      <c r="Y1059" s="175"/>
      <c r="Z1059" s="175"/>
      <c r="AA1059" s="175"/>
    </row>
    <row r="1060" spans="1:27" s="222" customFormat="1" hidden="1">
      <c r="A1060" s="1105"/>
      <c r="B1060" s="206"/>
      <c r="C1060" s="287"/>
      <c r="D1060" s="288"/>
      <c r="E1060" s="289"/>
      <c r="F1060" s="290"/>
      <c r="G1060" s="288"/>
      <c r="H1060" s="289"/>
      <c r="I1060" s="290"/>
      <c r="J1060" s="201"/>
      <c r="K1060" s="291"/>
      <c r="L1060" s="291"/>
      <c r="M1060" s="291"/>
      <c r="N1060" s="291"/>
      <c r="O1060" s="292"/>
      <c r="P1060" s="291"/>
      <c r="Q1060" s="292"/>
      <c r="R1060" s="218"/>
      <c r="S1060" s="293"/>
      <c r="T1060" s="204"/>
      <c r="U1060" s="221"/>
      <c r="V1060" s="174">
        <f t="shared" si="139"/>
        <v>0</v>
      </c>
    </row>
    <row r="1061" spans="1:27" s="222" customFormat="1" hidden="1">
      <c r="A1061" s="1105"/>
      <c r="B1061" s="223"/>
      <c r="C1061" s="224"/>
      <c r="D1061" s="225"/>
      <c r="E1061" s="226"/>
      <c r="F1061" s="227"/>
      <c r="G1061" s="225"/>
      <c r="H1061" s="226"/>
      <c r="I1061" s="227"/>
      <c r="J1061" s="228"/>
      <c r="K1061" s="229"/>
      <c r="L1061" s="230"/>
      <c r="M1061" s="231"/>
      <c r="N1061" s="232"/>
      <c r="O1061" s="233"/>
      <c r="P1061" s="230"/>
      <c r="Q1061" s="234"/>
      <c r="R1061" s="235"/>
      <c r="S1061" s="236"/>
      <c r="T1061" s="294"/>
      <c r="U1061" s="238"/>
      <c r="V1061" s="174">
        <f t="shared" si="139"/>
        <v>0</v>
      </c>
    </row>
    <row r="1062" spans="1:27" s="40" customFormat="1" hidden="1">
      <c r="A1062" s="1106"/>
      <c r="B1062" s="246"/>
      <c r="C1062" s="240"/>
      <c r="D1062" s="2527" t="s">
        <v>257</v>
      </c>
      <c r="E1062" s="2528"/>
      <c r="F1062" s="2528"/>
      <c r="G1062" s="2528"/>
      <c r="H1062" s="2528"/>
      <c r="I1062" s="2529"/>
      <c r="J1062" s="2488">
        <f>VLOOKUP(A1064,'11 - FINANCEIRA'!_xlnm.Print_Area,30,FALSE)</f>
        <v>118.46</v>
      </c>
      <c r="K1062" s="2489"/>
      <c r="L1062" s="309" t="str">
        <f>VLOOKUP(A1064,'11 - FINANCEIRA'!_xlnm.Print_Area,4,FALSE)</f>
        <v>m</v>
      </c>
      <c r="M1062" s="2556" t="s">
        <v>258</v>
      </c>
      <c r="N1062" s="2557"/>
      <c r="O1062" s="2557"/>
      <c r="P1062" s="2557"/>
      <c r="Q1062" s="2558"/>
      <c r="R1062" s="248">
        <f>SUM(R1058:R1061)</f>
        <v>0</v>
      </c>
      <c r="S1062" s="310" t="str">
        <f>L1062</f>
        <v>m</v>
      </c>
      <c r="T1062" s="244"/>
      <c r="U1062" s="245"/>
      <c r="V1062" s="174">
        <f t="shared" si="139"/>
        <v>0</v>
      </c>
    </row>
    <row r="1063" spans="1:27" s="40" customFormat="1" hidden="1">
      <c r="A1063" s="1106"/>
      <c r="B1063" s="246"/>
      <c r="C1063" s="247"/>
      <c r="D1063" s="2521" t="s">
        <v>259</v>
      </c>
      <c r="E1063" s="2522"/>
      <c r="F1063" s="2522"/>
      <c r="G1063" s="2522"/>
      <c r="H1063" s="2522"/>
      <c r="I1063" s="2523"/>
      <c r="J1063" s="2515">
        <f>R1062/J1062</f>
        <v>0</v>
      </c>
      <c r="K1063" s="2516"/>
      <c r="L1063" s="2554"/>
      <c r="M1063" s="2556" t="s">
        <v>260</v>
      </c>
      <c r="N1063" s="2557"/>
      <c r="O1063" s="2557"/>
      <c r="P1063" s="2557"/>
      <c r="Q1063" s="2558"/>
      <c r="R1063" s="248">
        <f>VLOOKUP(A1064,'11 - FINANCEIRA'!_xlnm.Print_Area,8,FALSE)</f>
        <v>0</v>
      </c>
      <c r="S1063" s="249" t="str">
        <f>L1062</f>
        <v>m</v>
      </c>
      <c r="T1063" s="244"/>
      <c r="U1063" s="245"/>
      <c r="V1063" s="174">
        <f t="shared" si="139"/>
        <v>0</v>
      </c>
    </row>
    <row r="1064" spans="1:27" s="40" customFormat="1" hidden="1">
      <c r="A1064" s="1106" t="s">
        <v>88</v>
      </c>
      <c r="B1064" s="246"/>
      <c r="C1064" s="240"/>
      <c r="D1064" s="2524"/>
      <c r="E1064" s="2525"/>
      <c r="F1064" s="2525"/>
      <c r="G1064" s="2525"/>
      <c r="H1064" s="2525"/>
      <c r="I1064" s="2526"/>
      <c r="J1064" s="2519"/>
      <c r="K1064" s="2520"/>
      <c r="L1064" s="2570"/>
      <c r="M1064" s="2574" t="s">
        <v>261</v>
      </c>
      <c r="N1064" s="2575"/>
      <c r="O1064" s="2575"/>
      <c r="P1064" s="2575"/>
      <c r="Q1064" s="2576"/>
      <c r="R1064" s="251">
        <f>R1062-R1063</f>
        <v>0</v>
      </c>
      <c r="S1064" s="252" t="str">
        <f>L1062</f>
        <v>m</v>
      </c>
      <c r="T1064" s="244"/>
      <c r="U1064" s="245"/>
      <c r="V1064" s="174">
        <f>R1064</f>
        <v>0</v>
      </c>
    </row>
    <row r="1065" spans="1:27" s="40" customFormat="1" hidden="1">
      <c r="A1065" s="1106"/>
      <c r="B1065" s="295"/>
      <c r="C1065" s="254"/>
      <c r="D1065" s="255"/>
      <c r="E1065" s="256"/>
      <c r="F1065" s="255"/>
      <c r="G1065" s="255"/>
      <c r="H1065" s="255"/>
      <c r="I1065" s="255"/>
      <c r="J1065" s="257"/>
      <c r="K1065" s="258"/>
      <c r="L1065" s="259"/>
      <c r="M1065" s="260"/>
      <c r="N1065" s="260"/>
      <c r="O1065" s="260"/>
      <c r="P1065" s="260"/>
      <c r="Q1065" s="260"/>
      <c r="R1065" s="261"/>
      <c r="S1065" s="262"/>
      <c r="T1065" s="263"/>
      <c r="U1065" s="264"/>
      <c r="V1065" s="265">
        <f>SUM(V1056:V1064)</f>
        <v>0</v>
      </c>
    </row>
    <row r="1066" spans="1:27" s="176" customFormat="1" hidden="1">
      <c r="A1066" s="1104"/>
      <c r="B1066" s="2463">
        <f>VLOOKUP(A1074,'11 - FINANCEIRA'!_xlnm.Print_Area,2,FALSE)</f>
        <v>36380</v>
      </c>
      <c r="C1066" s="2465" t="str">
        <f>VLOOKUP(A1074,'11 - FINANCEIRA'!_xlnm.Print_Area,3,FALSE)</f>
        <v>Tubo de PVC PBA JEI, classe 20, DN 100mm, para rede de água (Nbr 5647)</v>
      </c>
      <c r="D1066" s="2472" t="s">
        <v>242</v>
      </c>
      <c r="E1066" s="2473"/>
      <c r="F1066" s="2473"/>
      <c r="G1066" s="2473"/>
      <c r="H1066" s="2473"/>
      <c r="I1066" s="2474"/>
      <c r="J1066" s="2467" t="s">
        <v>373</v>
      </c>
      <c r="K1066" s="2467" t="s">
        <v>244</v>
      </c>
      <c r="L1066" s="2467" t="s">
        <v>245</v>
      </c>
      <c r="M1066" s="2467" t="s">
        <v>246</v>
      </c>
      <c r="N1066" s="2467" t="s">
        <v>247</v>
      </c>
      <c r="O1066" s="2467" t="s">
        <v>248</v>
      </c>
      <c r="P1066" s="2467" t="s">
        <v>348</v>
      </c>
      <c r="Q1066" s="2467" t="s">
        <v>250</v>
      </c>
      <c r="R1066" s="2579" t="s">
        <v>139</v>
      </c>
      <c r="S1066" s="2467" t="s">
        <v>251</v>
      </c>
      <c r="T1066" s="2467" t="s">
        <v>252</v>
      </c>
      <c r="U1066" s="2584" t="s">
        <v>253</v>
      </c>
      <c r="V1066" s="174">
        <f t="shared" ref="V1066:V1073" si="140">V1067</f>
        <v>0</v>
      </c>
      <c r="W1066" s="175"/>
      <c r="X1066" s="175"/>
      <c r="Y1066" s="175"/>
      <c r="Z1066" s="175"/>
      <c r="AA1066" s="175"/>
    </row>
    <row r="1067" spans="1:27" s="176" customFormat="1" hidden="1">
      <c r="A1067" s="1104"/>
      <c r="B1067" s="2464" t="e">
        <f>LEFT(#REF!,5)</f>
        <v>#REF!</v>
      </c>
      <c r="C1067" s="2466" t="e">
        <f>VLOOKUP(LEFT(#REF!,5),'11 - FINANCEIRA'!_xlnm.Print_Area,2,FALSE)</f>
        <v>#REF!</v>
      </c>
      <c r="D1067" s="2475" t="s">
        <v>254</v>
      </c>
      <c r="E1067" s="2476"/>
      <c r="F1067" s="2477"/>
      <c r="G1067" s="2469" t="s">
        <v>255</v>
      </c>
      <c r="H1067" s="2470"/>
      <c r="I1067" s="2471"/>
      <c r="J1067" s="2468"/>
      <c r="K1067" s="2468"/>
      <c r="L1067" s="2468"/>
      <c r="M1067" s="2468"/>
      <c r="N1067" s="2468"/>
      <c r="O1067" s="2468"/>
      <c r="P1067" s="2468" t="s">
        <v>256</v>
      </c>
      <c r="Q1067" s="2468"/>
      <c r="R1067" s="2580"/>
      <c r="S1067" s="2468"/>
      <c r="T1067" s="2468"/>
      <c r="U1067" s="2585"/>
      <c r="V1067" s="174">
        <f t="shared" si="140"/>
        <v>0</v>
      </c>
      <c r="W1067" s="175"/>
      <c r="X1067" s="175"/>
      <c r="Y1067" s="175"/>
      <c r="Z1067" s="175"/>
      <c r="AA1067" s="175"/>
    </row>
    <row r="1068" spans="1:27" s="176" customFormat="1" hidden="1">
      <c r="A1068" s="1104"/>
      <c r="B1068" s="178"/>
      <c r="C1068" s="307"/>
      <c r="D1068" s="267"/>
      <c r="E1068" s="268"/>
      <c r="F1068" s="269"/>
      <c r="G1068" s="270"/>
      <c r="H1068" s="271"/>
      <c r="I1068" s="272"/>
      <c r="J1068" s="273"/>
      <c r="K1068" s="273"/>
      <c r="L1068" s="273"/>
      <c r="M1068" s="273"/>
      <c r="N1068" s="273"/>
      <c r="O1068" s="273"/>
      <c r="P1068" s="274"/>
      <c r="Q1068" s="273"/>
      <c r="R1068" s="308"/>
      <c r="S1068" s="273"/>
      <c r="T1068" s="276"/>
      <c r="U1068" s="194"/>
      <c r="V1068" s="174">
        <f t="shared" si="140"/>
        <v>0</v>
      </c>
      <c r="W1068" s="175"/>
      <c r="X1068" s="175"/>
      <c r="Y1068" s="175"/>
      <c r="Z1068" s="175"/>
      <c r="AA1068" s="175"/>
    </row>
    <row r="1069" spans="1:27" s="176" customFormat="1" hidden="1">
      <c r="A1069" s="1104"/>
      <c r="B1069" s="195"/>
      <c r="C1069" s="277"/>
      <c r="D1069" s="278"/>
      <c r="E1069" s="279"/>
      <c r="F1069" s="280"/>
      <c r="G1069" s="281"/>
      <c r="H1069" s="282"/>
      <c r="I1069" s="283"/>
      <c r="J1069" s="284"/>
      <c r="K1069" s="278"/>
      <c r="L1069" s="284"/>
      <c r="M1069" s="280"/>
      <c r="N1069" s="279"/>
      <c r="O1069" s="278"/>
      <c r="P1069" s="285"/>
      <c r="Q1069" s="280"/>
      <c r="R1069" s="203"/>
      <c r="S1069" s="284"/>
      <c r="T1069" s="286"/>
      <c r="U1069" s="205"/>
      <c r="V1069" s="174">
        <f t="shared" si="140"/>
        <v>0</v>
      </c>
      <c r="W1069" s="175"/>
      <c r="X1069" s="175"/>
      <c r="Y1069" s="175"/>
      <c r="Z1069" s="175"/>
      <c r="AA1069" s="175"/>
    </row>
    <row r="1070" spans="1:27" s="222" customFormat="1" hidden="1">
      <c r="A1070" s="1105"/>
      <c r="B1070" s="206"/>
      <c r="C1070" s="287"/>
      <c r="D1070" s="288"/>
      <c r="E1070" s="289"/>
      <c r="F1070" s="290"/>
      <c r="G1070" s="288"/>
      <c r="H1070" s="289"/>
      <c r="I1070" s="290"/>
      <c r="J1070" s="201"/>
      <c r="K1070" s="291"/>
      <c r="L1070" s="291"/>
      <c r="M1070" s="291"/>
      <c r="N1070" s="291"/>
      <c r="O1070" s="292"/>
      <c r="P1070" s="291"/>
      <c r="Q1070" s="292"/>
      <c r="R1070" s="218"/>
      <c r="S1070" s="293"/>
      <c r="T1070" s="204"/>
      <c r="U1070" s="221"/>
      <c r="V1070" s="174">
        <f t="shared" si="140"/>
        <v>0</v>
      </c>
    </row>
    <row r="1071" spans="1:27" s="222" customFormat="1" hidden="1">
      <c r="A1071" s="1105"/>
      <c r="B1071" s="223"/>
      <c r="C1071" s="224"/>
      <c r="D1071" s="225"/>
      <c r="E1071" s="226"/>
      <c r="F1071" s="227"/>
      <c r="G1071" s="225"/>
      <c r="H1071" s="226"/>
      <c r="I1071" s="227"/>
      <c r="J1071" s="228"/>
      <c r="K1071" s="229"/>
      <c r="L1071" s="230"/>
      <c r="M1071" s="231"/>
      <c r="N1071" s="232"/>
      <c r="O1071" s="233"/>
      <c r="P1071" s="230"/>
      <c r="Q1071" s="234"/>
      <c r="R1071" s="235"/>
      <c r="S1071" s="236"/>
      <c r="T1071" s="294"/>
      <c r="U1071" s="238"/>
      <c r="V1071" s="174">
        <f t="shared" si="140"/>
        <v>0</v>
      </c>
    </row>
    <row r="1072" spans="1:27" s="40" customFormat="1" hidden="1">
      <c r="A1072" s="1106"/>
      <c r="B1072" s="246"/>
      <c r="C1072" s="240"/>
      <c r="D1072" s="2527" t="s">
        <v>257</v>
      </c>
      <c r="E1072" s="2528"/>
      <c r="F1072" s="2528"/>
      <c r="G1072" s="2528"/>
      <c r="H1072" s="2528"/>
      <c r="I1072" s="2529"/>
      <c r="J1072" s="2488">
        <f>VLOOKUP(A1074,'11 - FINANCEIRA'!_xlnm.Print_Area,28,FALSE)</f>
        <v>0</v>
      </c>
      <c r="K1072" s="2489"/>
      <c r="L1072" s="309" t="str">
        <f>VLOOKUP(A1074,'11 - FINANCEIRA'!_xlnm.Print_Area,4,FALSE)</f>
        <v>m</v>
      </c>
      <c r="M1072" s="2556" t="s">
        <v>258</v>
      </c>
      <c r="N1072" s="2557"/>
      <c r="O1072" s="2557"/>
      <c r="P1072" s="2557"/>
      <c r="Q1072" s="2558"/>
      <c r="R1072" s="248">
        <f>SUM(R1068:R1071)</f>
        <v>0</v>
      </c>
      <c r="S1072" s="310" t="str">
        <f>L1072</f>
        <v>m</v>
      </c>
      <c r="T1072" s="244"/>
      <c r="U1072" s="245"/>
      <c r="V1072" s="174">
        <f t="shared" si="140"/>
        <v>0</v>
      </c>
    </row>
    <row r="1073" spans="1:27" s="40" customFormat="1" hidden="1">
      <c r="A1073" s="1106"/>
      <c r="B1073" s="246"/>
      <c r="C1073" s="247"/>
      <c r="D1073" s="2521" t="s">
        <v>259</v>
      </c>
      <c r="E1073" s="2522"/>
      <c r="F1073" s="2522"/>
      <c r="G1073" s="2522"/>
      <c r="H1073" s="2522"/>
      <c r="I1073" s="2523"/>
      <c r="J1073" s="2515" t="e">
        <f>R1072/J1072</f>
        <v>#DIV/0!</v>
      </c>
      <c r="K1073" s="2516"/>
      <c r="L1073" s="2554"/>
      <c r="M1073" s="2556" t="s">
        <v>260</v>
      </c>
      <c r="N1073" s="2557"/>
      <c r="O1073" s="2557"/>
      <c r="P1073" s="2557"/>
      <c r="Q1073" s="2558"/>
      <c r="R1073" s="248">
        <f>VLOOKUP(A1074,'11 - FINANCEIRA'!_xlnm.Print_Area,8,FALSE)</f>
        <v>0</v>
      </c>
      <c r="S1073" s="249" t="str">
        <f>L1072</f>
        <v>m</v>
      </c>
      <c r="T1073" s="244"/>
      <c r="U1073" s="245"/>
      <c r="V1073" s="174">
        <f t="shared" si="140"/>
        <v>0</v>
      </c>
    </row>
    <row r="1074" spans="1:27" s="40" customFormat="1" hidden="1">
      <c r="A1074" s="1106" t="s">
        <v>89</v>
      </c>
      <c r="B1074" s="246"/>
      <c r="C1074" s="240"/>
      <c r="D1074" s="2539"/>
      <c r="E1074" s="2540"/>
      <c r="F1074" s="2540"/>
      <c r="G1074" s="2540"/>
      <c r="H1074" s="2540"/>
      <c r="I1074" s="2541"/>
      <c r="J1074" s="2517"/>
      <c r="K1074" s="2518"/>
      <c r="L1074" s="2555"/>
      <c r="M1074" s="2556" t="s">
        <v>261</v>
      </c>
      <c r="N1074" s="2557"/>
      <c r="O1074" s="2557"/>
      <c r="P1074" s="2557"/>
      <c r="Q1074" s="2558"/>
      <c r="R1074" s="251">
        <f>R1072-R1073</f>
        <v>0</v>
      </c>
      <c r="S1074" s="252" t="str">
        <f>L1072</f>
        <v>m</v>
      </c>
      <c r="T1074" s="244"/>
      <c r="U1074" s="245"/>
      <c r="V1074" s="174">
        <f>R1074</f>
        <v>0</v>
      </c>
    </row>
    <row r="1075" spans="1:27" s="40" customFormat="1" hidden="1">
      <c r="A1075" s="1106"/>
      <c r="B1075" s="295"/>
      <c r="C1075" s="254"/>
      <c r="D1075" s="255"/>
      <c r="E1075" s="256"/>
      <c r="F1075" s="255"/>
      <c r="G1075" s="255"/>
      <c r="H1075" s="255"/>
      <c r="I1075" s="255"/>
      <c r="J1075" s="257"/>
      <c r="K1075" s="258"/>
      <c r="L1075" s="259"/>
      <c r="M1075" s="260"/>
      <c r="N1075" s="260"/>
      <c r="O1075" s="260"/>
      <c r="P1075" s="260"/>
      <c r="Q1075" s="260"/>
      <c r="R1075" s="261"/>
      <c r="S1075" s="262"/>
      <c r="T1075" s="263"/>
      <c r="U1075" s="264"/>
      <c r="V1075" s="265">
        <f>SUM(V1066:V1074)</f>
        <v>0</v>
      </c>
    </row>
    <row r="1076" spans="1:27" s="176" customFormat="1" ht="47.25" hidden="1">
      <c r="A1076" s="1104"/>
      <c r="B1076" s="717">
        <f>VLOOKUP(A1084,'11 - FINANCEIRA'!_xlnm.Print_Area,2,FALSE)</f>
        <v>97144</v>
      </c>
      <c r="C1076" s="1316" t="str">
        <f>VLOOKUP(A1084,'11 - FINANCEIRA'!_xlnm.Print_Area,3,FALSE)</f>
        <v>Assentamento de tubo de ferro fundido para rede de água, DN 200mm, junta elástica, instalado em local com nível alto de interferências ( não inclui fornecimento). AF_11/2017</v>
      </c>
      <c r="D1076" s="2472" t="s">
        <v>242</v>
      </c>
      <c r="E1076" s="2473"/>
      <c r="F1076" s="2473"/>
      <c r="G1076" s="2473"/>
      <c r="H1076" s="2473"/>
      <c r="I1076" s="2474"/>
      <c r="J1076" s="2467" t="s">
        <v>373</v>
      </c>
      <c r="K1076" s="2467" t="s">
        <v>244</v>
      </c>
      <c r="L1076" s="2467" t="s">
        <v>245</v>
      </c>
      <c r="M1076" s="2467" t="s">
        <v>246</v>
      </c>
      <c r="N1076" s="2467" t="s">
        <v>247</v>
      </c>
      <c r="O1076" s="2467" t="s">
        <v>248</v>
      </c>
      <c r="P1076" s="173" t="s">
        <v>249</v>
      </c>
      <c r="Q1076" s="2467" t="s">
        <v>250</v>
      </c>
      <c r="R1076" s="2579" t="s">
        <v>139</v>
      </c>
      <c r="S1076" s="2467" t="s">
        <v>251</v>
      </c>
      <c r="T1076" s="2467" t="s">
        <v>252</v>
      </c>
      <c r="U1076" s="2584" t="s">
        <v>253</v>
      </c>
      <c r="V1076" s="174">
        <f t="shared" ref="V1076:V1083" si="141">V1077</f>
        <v>0</v>
      </c>
      <c r="W1076" s="175"/>
      <c r="X1076" s="175"/>
      <c r="Y1076" s="175"/>
      <c r="Z1076" s="175"/>
      <c r="AA1076" s="175"/>
    </row>
    <row r="1077" spans="1:27" s="176" customFormat="1" hidden="1">
      <c r="A1077" s="1104"/>
      <c r="B1077" s="718" t="e">
        <f>LEFT(#REF!,5)</f>
        <v>#REF!</v>
      </c>
      <c r="C1077" s="966" t="e">
        <f>VLOOKUP(LEFT(#REF!,5),'11 - FINANCEIRA'!_xlnm.Print_Area,2,FALSE)</f>
        <v>#REF!</v>
      </c>
      <c r="D1077" s="2475" t="s">
        <v>254</v>
      </c>
      <c r="E1077" s="2476"/>
      <c r="F1077" s="2477"/>
      <c r="G1077" s="2469" t="s">
        <v>255</v>
      </c>
      <c r="H1077" s="2470"/>
      <c r="I1077" s="2471"/>
      <c r="J1077" s="2468"/>
      <c r="K1077" s="2468"/>
      <c r="L1077" s="2468"/>
      <c r="M1077" s="2468"/>
      <c r="N1077" s="2468"/>
      <c r="O1077" s="2468"/>
      <c r="P1077" s="177" t="s">
        <v>256</v>
      </c>
      <c r="Q1077" s="2468"/>
      <c r="R1077" s="2580"/>
      <c r="S1077" s="2468"/>
      <c r="T1077" s="2468"/>
      <c r="U1077" s="2585"/>
      <c r="V1077" s="174">
        <f t="shared" si="141"/>
        <v>0</v>
      </c>
      <c r="W1077" s="175"/>
      <c r="X1077" s="175"/>
      <c r="Y1077" s="175"/>
      <c r="Z1077" s="175"/>
      <c r="AA1077" s="175"/>
    </row>
    <row r="1078" spans="1:27" s="176" customFormat="1" hidden="1">
      <c r="A1078" s="1104"/>
      <c r="B1078" s="178"/>
      <c r="C1078" s="307"/>
      <c r="D1078" s="267"/>
      <c r="E1078" s="268"/>
      <c r="F1078" s="269"/>
      <c r="G1078" s="270"/>
      <c r="H1078" s="271"/>
      <c r="I1078" s="272"/>
      <c r="J1078" s="273"/>
      <c r="K1078" s="273"/>
      <c r="L1078" s="273"/>
      <c r="M1078" s="273"/>
      <c r="N1078" s="273"/>
      <c r="O1078" s="273"/>
      <c r="P1078" s="274"/>
      <c r="Q1078" s="273"/>
      <c r="R1078" s="308"/>
      <c r="S1078" s="273"/>
      <c r="T1078" s="276"/>
      <c r="U1078" s="194"/>
      <c r="V1078" s="174">
        <f t="shared" si="141"/>
        <v>0</v>
      </c>
      <c r="W1078" s="175"/>
      <c r="X1078" s="175"/>
      <c r="Y1078" s="175"/>
      <c r="Z1078" s="175"/>
      <c r="AA1078" s="175"/>
    </row>
    <row r="1079" spans="1:27" s="176" customFormat="1" hidden="1">
      <c r="A1079" s="1104"/>
      <c r="B1079" s="195"/>
      <c r="C1079" s="277"/>
      <c r="D1079" s="278"/>
      <c r="E1079" s="279"/>
      <c r="F1079" s="280"/>
      <c r="G1079" s="281"/>
      <c r="H1079" s="282"/>
      <c r="I1079" s="283"/>
      <c r="J1079" s="284"/>
      <c r="K1079" s="278"/>
      <c r="L1079" s="284"/>
      <c r="M1079" s="280"/>
      <c r="N1079" s="279"/>
      <c r="O1079" s="278"/>
      <c r="P1079" s="285"/>
      <c r="Q1079" s="280"/>
      <c r="R1079" s="203"/>
      <c r="S1079" s="284"/>
      <c r="T1079" s="286"/>
      <c r="U1079" s="205"/>
      <c r="V1079" s="174">
        <f t="shared" si="141"/>
        <v>0</v>
      </c>
      <c r="W1079" s="175"/>
      <c r="X1079" s="175"/>
      <c r="Y1079" s="175"/>
      <c r="Z1079" s="175"/>
      <c r="AA1079" s="175"/>
    </row>
    <row r="1080" spans="1:27" s="222" customFormat="1" hidden="1">
      <c r="A1080" s="1105"/>
      <c r="B1080" s="206"/>
      <c r="C1080" s="287"/>
      <c r="D1080" s="288"/>
      <c r="E1080" s="289"/>
      <c r="F1080" s="290"/>
      <c r="G1080" s="288"/>
      <c r="H1080" s="289"/>
      <c r="I1080" s="290"/>
      <c r="J1080" s="201"/>
      <c r="K1080" s="291"/>
      <c r="L1080" s="291"/>
      <c r="M1080" s="291"/>
      <c r="N1080" s="291"/>
      <c r="O1080" s="292"/>
      <c r="P1080" s="291"/>
      <c r="Q1080" s="292"/>
      <c r="R1080" s="218"/>
      <c r="S1080" s="293"/>
      <c r="T1080" s="204"/>
      <c r="U1080" s="221"/>
      <c r="V1080" s="174">
        <f t="shared" si="141"/>
        <v>0</v>
      </c>
    </row>
    <row r="1081" spans="1:27" s="222" customFormat="1" hidden="1">
      <c r="A1081" s="1105"/>
      <c r="B1081" s="223"/>
      <c r="C1081" s="224"/>
      <c r="D1081" s="225"/>
      <c r="E1081" s="226"/>
      <c r="F1081" s="227"/>
      <c r="G1081" s="225"/>
      <c r="H1081" s="226"/>
      <c r="I1081" s="227"/>
      <c r="J1081" s="228"/>
      <c r="K1081" s="229"/>
      <c r="L1081" s="230"/>
      <c r="M1081" s="231"/>
      <c r="N1081" s="232"/>
      <c r="O1081" s="233"/>
      <c r="P1081" s="230"/>
      <c r="Q1081" s="234"/>
      <c r="R1081" s="235"/>
      <c r="S1081" s="236"/>
      <c r="T1081" s="294"/>
      <c r="U1081" s="238"/>
      <c r="V1081" s="174">
        <f t="shared" si="141"/>
        <v>0</v>
      </c>
    </row>
    <row r="1082" spans="1:27" s="40" customFormat="1" hidden="1">
      <c r="A1082" s="1106"/>
      <c r="B1082" s="246"/>
      <c r="C1082" s="240"/>
      <c r="D1082" s="2527" t="s">
        <v>257</v>
      </c>
      <c r="E1082" s="2528"/>
      <c r="F1082" s="2528"/>
      <c r="G1082" s="2528"/>
      <c r="H1082" s="2528"/>
      <c r="I1082" s="2529"/>
      <c r="J1082" s="2488">
        <f>VLOOKUP(A1084,'11 - FINANCEIRA'!_xlnm.Print_Area,30,FALSE)</f>
        <v>13.66</v>
      </c>
      <c r="K1082" s="2489"/>
      <c r="L1082" s="309" t="str">
        <f>VLOOKUP(A1084,'11 - FINANCEIRA'!_xlnm.Print_Area,4,FALSE)</f>
        <v>m</v>
      </c>
      <c r="M1082" s="2556" t="s">
        <v>258</v>
      </c>
      <c r="N1082" s="2557"/>
      <c r="O1082" s="2557"/>
      <c r="P1082" s="2557"/>
      <c r="Q1082" s="2558"/>
      <c r="R1082" s="248">
        <f>SUM(R1078:R1081)</f>
        <v>0</v>
      </c>
      <c r="S1082" s="310" t="str">
        <f>L1082</f>
        <v>m</v>
      </c>
      <c r="T1082" s="244"/>
      <c r="U1082" s="245"/>
      <c r="V1082" s="174">
        <f t="shared" si="141"/>
        <v>0</v>
      </c>
    </row>
    <row r="1083" spans="1:27" s="40" customFormat="1" hidden="1">
      <c r="A1083" s="1106"/>
      <c r="B1083" s="246"/>
      <c r="C1083" s="247"/>
      <c r="D1083" s="2521" t="s">
        <v>259</v>
      </c>
      <c r="E1083" s="2522"/>
      <c r="F1083" s="2522"/>
      <c r="G1083" s="2522"/>
      <c r="H1083" s="2522"/>
      <c r="I1083" s="2523"/>
      <c r="J1083" s="2515">
        <f>R1082/J1082</f>
        <v>0</v>
      </c>
      <c r="K1083" s="2516"/>
      <c r="L1083" s="2554"/>
      <c r="M1083" s="2556" t="s">
        <v>260</v>
      </c>
      <c r="N1083" s="2557"/>
      <c r="O1083" s="2557"/>
      <c r="P1083" s="2557"/>
      <c r="Q1083" s="2558"/>
      <c r="R1083" s="248">
        <f>VLOOKUP(A1084,'11 - FINANCEIRA'!_xlnm.Print_Area,8,FALSE)</f>
        <v>0</v>
      </c>
      <c r="S1083" s="249" t="str">
        <f>L1082</f>
        <v>m</v>
      </c>
      <c r="T1083" s="244"/>
      <c r="U1083" s="245"/>
      <c r="V1083" s="174">
        <f t="shared" si="141"/>
        <v>0</v>
      </c>
    </row>
    <row r="1084" spans="1:27" s="40" customFormat="1" hidden="1">
      <c r="A1084" s="1106" t="s">
        <v>90</v>
      </c>
      <c r="B1084" s="246"/>
      <c r="C1084" s="240"/>
      <c r="D1084" s="2524"/>
      <c r="E1084" s="2525"/>
      <c r="F1084" s="2525"/>
      <c r="G1084" s="2525"/>
      <c r="H1084" s="2525"/>
      <c r="I1084" s="2526"/>
      <c r="J1084" s="2519"/>
      <c r="K1084" s="2520"/>
      <c r="L1084" s="2570"/>
      <c r="M1084" s="2574" t="s">
        <v>261</v>
      </c>
      <c r="N1084" s="2575"/>
      <c r="O1084" s="2575"/>
      <c r="P1084" s="2575"/>
      <c r="Q1084" s="2576"/>
      <c r="R1084" s="251">
        <f>R1082-R1083</f>
        <v>0</v>
      </c>
      <c r="S1084" s="252" t="str">
        <f>L1082</f>
        <v>m</v>
      </c>
      <c r="T1084" s="244"/>
      <c r="U1084" s="245"/>
      <c r="V1084" s="174">
        <f>R1084</f>
        <v>0</v>
      </c>
    </row>
    <row r="1085" spans="1:27" s="40" customFormat="1" hidden="1">
      <c r="A1085" s="1106"/>
      <c r="B1085" s="295"/>
      <c r="C1085" s="254"/>
      <c r="D1085" s="255"/>
      <c r="E1085" s="256"/>
      <c r="F1085" s="255"/>
      <c r="G1085" s="255"/>
      <c r="H1085" s="255"/>
      <c r="I1085" s="255"/>
      <c r="J1085" s="257"/>
      <c r="K1085" s="258"/>
      <c r="L1085" s="259"/>
      <c r="M1085" s="260"/>
      <c r="N1085" s="260"/>
      <c r="O1085" s="260"/>
      <c r="P1085" s="260"/>
      <c r="Q1085" s="260"/>
      <c r="R1085" s="261"/>
      <c r="S1085" s="262"/>
      <c r="T1085" s="263"/>
      <c r="U1085" s="264"/>
      <c r="V1085" s="265">
        <f>SUM(V1076:V1084)</f>
        <v>0</v>
      </c>
    </row>
    <row r="1086" spans="1:27" s="176" customFormat="1" hidden="1">
      <c r="A1086" s="1104"/>
      <c r="B1086" s="717">
        <f>VLOOKUP(A1094,'11 - FINANCEIRA'!_xlnm.Print_Area,2,FALSE)</f>
        <v>3209</v>
      </c>
      <c r="C1086" s="965" t="str">
        <f>VLOOKUP(A1094,'11 - FINANCEIRA'!_xlnm.Print_Area,3,FALSE)</f>
        <v>Tubo fofof fúctil JGS JEK-7p/água DN 200</v>
      </c>
      <c r="D1086" s="2472" t="s">
        <v>242</v>
      </c>
      <c r="E1086" s="2473"/>
      <c r="F1086" s="2473"/>
      <c r="G1086" s="2473"/>
      <c r="H1086" s="2473"/>
      <c r="I1086" s="2474"/>
      <c r="J1086" s="2467" t="s">
        <v>373</v>
      </c>
      <c r="K1086" s="2467" t="s">
        <v>244</v>
      </c>
      <c r="L1086" s="2467" t="s">
        <v>245</v>
      </c>
      <c r="M1086" s="2467" t="s">
        <v>246</v>
      </c>
      <c r="N1086" s="2467" t="s">
        <v>247</v>
      </c>
      <c r="O1086" s="2467" t="s">
        <v>248</v>
      </c>
      <c r="P1086" s="173" t="s">
        <v>249</v>
      </c>
      <c r="Q1086" s="2467" t="s">
        <v>250</v>
      </c>
      <c r="R1086" s="2579" t="s">
        <v>139</v>
      </c>
      <c r="S1086" s="2467" t="s">
        <v>251</v>
      </c>
      <c r="T1086" s="2467" t="s">
        <v>252</v>
      </c>
      <c r="U1086" s="2584" t="s">
        <v>253</v>
      </c>
      <c r="V1086" s="174">
        <f t="shared" ref="V1086:V1093" si="142">V1087</f>
        <v>0</v>
      </c>
      <c r="W1086" s="175"/>
      <c r="X1086" s="175"/>
      <c r="Y1086" s="175"/>
      <c r="Z1086" s="175"/>
      <c r="AA1086" s="175"/>
    </row>
    <row r="1087" spans="1:27" s="176" customFormat="1" hidden="1">
      <c r="A1087" s="1104"/>
      <c r="B1087" s="718" t="e">
        <f>LEFT(#REF!,5)</f>
        <v>#REF!</v>
      </c>
      <c r="C1087" s="966" t="e">
        <f>VLOOKUP(LEFT(#REF!,5),'11 - FINANCEIRA'!_xlnm.Print_Area,2,FALSE)</f>
        <v>#REF!</v>
      </c>
      <c r="D1087" s="2475" t="s">
        <v>254</v>
      </c>
      <c r="E1087" s="2476"/>
      <c r="F1087" s="2477"/>
      <c r="G1087" s="2469" t="s">
        <v>255</v>
      </c>
      <c r="H1087" s="2470"/>
      <c r="I1087" s="2471"/>
      <c r="J1087" s="2468"/>
      <c r="K1087" s="2468"/>
      <c r="L1087" s="2468"/>
      <c r="M1087" s="2468"/>
      <c r="N1087" s="2468"/>
      <c r="O1087" s="2468"/>
      <c r="P1087" s="177" t="s">
        <v>256</v>
      </c>
      <c r="Q1087" s="2468"/>
      <c r="R1087" s="2580"/>
      <c r="S1087" s="2468"/>
      <c r="T1087" s="2468"/>
      <c r="U1087" s="2585"/>
      <c r="V1087" s="174">
        <f t="shared" si="142"/>
        <v>0</v>
      </c>
      <c r="W1087" s="175"/>
      <c r="X1087" s="175"/>
      <c r="Y1087" s="175"/>
      <c r="Z1087" s="175"/>
      <c r="AA1087" s="175"/>
    </row>
    <row r="1088" spans="1:27" s="176" customFormat="1" hidden="1">
      <c r="A1088" s="1104"/>
      <c r="B1088" s="178"/>
      <c r="C1088" s="307"/>
      <c r="D1088" s="267"/>
      <c r="E1088" s="268"/>
      <c r="F1088" s="269"/>
      <c r="G1088" s="270"/>
      <c r="H1088" s="271"/>
      <c r="I1088" s="272"/>
      <c r="J1088" s="273"/>
      <c r="K1088" s="273"/>
      <c r="L1088" s="273"/>
      <c r="M1088" s="273"/>
      <c r="N1088" s="273"/>
      <c r="O1088" s="273"/>
      <c r="P1088" s="274"/>
      <c r="Q1088" s="273"/>
      <c r="R1088" s="308"/>
      <c r="S1088" s="273"/>
      <c r="T1088" s="276"/>
      <c r="U1088" s="194"/>
      <c r="V1088" s="174">
        <f t="shared" si="142"/>
        <v>0</v>
      </c>
      <c r="W1088" s="175"/>
      <c r="X1088" s="175"/>
      <c r="Y1088" s="175"/>
      <c r="Z1088" s="175"/>
      <c r="AA1088" s="175"/>
    </row>
    <row r="1089" spans="1:27" s="176" customFormat="1" hidden="1">
      <c r="A1089" s="1104"/>
      <c r="B1089" s="195"/>
      <c r="C1089" s="277"/>
      <c r="D1089" s="278"/>
      <c r="E1089" s="279"/>
      <c r="F1089" s="280"/>
      <c r="G1089" s="281"/>
      <c r="H1089" s="282"/>
      <c r="I1089" s="283"/>
      <c r="J1089" s="284"/>
      <c r="K1089" s="278"/>
      <c r="L1089" s="284"/>
      <c r="M1089" s="280"/>
      <c r="N1089" s="279"/>
      <c r="O1089" s="278"/>
      <c r="P1089" s="285"/>
      <c r="Q1089" s="280"/>
      <c r="R1089" s="203"/>
      <c r="S1089" s="284"/>
      <c r="T1089" s="286"/>
      <c r="U1089" s="205"/>
      <c r="V1089" s="174">
        <f t="shared" si="142"/>
        <v>0</v>
      </c>
      <c r="W1089" s="175"/>
      <c r="X1089" s="175"/>
      <c r="Y1089" s="175"/>
      <c r="Z1089" s="175"/>
      <c r="AA1089" s="175"/>
    </row>
    <row r="1090" spans="1:27" s="222" customFormat="1" hidden="1">
      <c r="A1090" s="1105"/>
      <c r="B1090" s="206"/>
      <c r="C1090" s="287"/>
      <c r="D1090" s="288"/>
      <c r="E1090" s="289"/>
      <c r="F1090" s="290"/>
      <c r="G1090" s="288"/>
      <c r="H1090" s="289"/>
      <c r="I1090" s="290"/>
      <c r="J1090" s="201"/>
      <c r="K1090" s="291"/>
      <c r="L1090" s="291"/>
      <c r="M1090" s="291"/>
      <c r="N1090" s="291"/>
      <c r="O1090" s="292"/>
      <c r="P1090" s="291"/>
      <c r="Q1090" s="292"/>
      <c r="R1090" s="218"/>
      <c r="S1090" s="293"/>
      <c r="T1090" s="204"/>
      <c r="U1090" s="221"/>
      <c r="V1090" s="174">
        <f t="shared" si="142"/>
        <v>0</v>
      </c>
    </row>
    <row r="1091" spans="1:27" s="222" customFormat="1" hidden="1">
      <c r="A1091" s="1105"/>
      <c r="B1091" s="223"/>
      <c r="C1091" s="224"/>
      <c r="D1091" s="225"/>
      <c r="E1091" s="226"/>
      <c r="F1091" s="227"/>
      <c r="G1091" s="225"/>
      <c r="H1091" s="226"/>
      <c r="I1091" s="227"/>
      <c r="J1091" s="228"/>
      <c r="K1091" s="229"/>
      <c r="L1091" s="230"/>
      <c r="M1091" s="231"/>
      <c r="N1091" s="232"/>
      <c r="O1091" s="233"/>
      <c r="P1091" s="230"/>
      <c r="Q1091" s="234"/>
      <c r="R1091" s="235"/>
      <c r="S1091" s="236"/>
      <c r="T1091" s="294"/>
      <c r="U1091" s="238"/>
      <c r="V1091" s="174">
        <f t="shared" si="142"/>
        <v>0</v>
      </c>
    </row>
    <row r="1092" spans="1:27" s="40" customFormat="1" hidden="1">
      <c r="A1092" s="1106"/>
      <c r="B1092" s="246"/>
      <c r="C1092" s="240"/>
      <c r="D1092" s="2527" t="s">
        <v>257</v>
      </c>
      <c r="E1092" s="2528"/>
      <c r="F1092" s="2528"/>
      <c r="G1092" s="2528"/>
      <c r="H1092" s="2528"/>
      <c r="I1092" s="2529"/>
      <c r="J1092" s="2488">
        <f>VLOOKUP(A1094,'11 - FINANCEIRA'!_xlnm.Print_Area,30,FALSE)</f>
        <v>13.66</v>
      </c>
      <c r="K1092" s="2489"/>
      <c r="L1092" s="309" t="str">
        <f>VLOOKUP(A1094,'11 - FINANCEIRA'!_xlnm.Print_Area,4,FALSE)</f>
        <v>m</v>
      </c>
      <c r="M1092" s="2556" t="s">
        <v>258</v>
      </c>
      <c r="N1092" s="2557"/>
      <c r="O1092" s="2557"/>
      <c r="P1092" s="2557"/>
      <c r="Q1092" s="2558"/>
      <c r="R1092" s="248">
        <f>SUM(R1088:R1091)</f>
        <v>0</v>
      </c>
      <c r="S1092" s="310" t="str">
        <f>L1092</f>
        <v>m</v>
      </c>
      <c r="T1092" s="244"/>
      <c r="U1092" s="245"/>
      <c r="V1092" s="174">
        <f t="shared" si="142"/>
        <v>0</v>
      </c>
    </row>
    <row r="1093" spans="1:27" s="40" customFormat="1" hidden="1">
      <c r="A1093" s="1106"/>
      <c r="B1093" s="246"/>
      <c r="C1093" s="247"/>
      <c r="D1093" s="2521" t="s">
        <v>259</v>
      </c>
      <c r="E1093" s="2522"/>
      <c r="F1093" s="2522"/>
      <c r="G1093" s="2522"/>
      <c r="H1093" s="2522"/>
      <c r="I1093" s="2523"/>
      <c r="J1093" s="2515">
        <f>R1092/J1092</f>
        <v>0</v>
      </c>
      <c r="K1093" s="2516"/>
      <c r="L1093" s="2554"/>
      <c r="M1093" s="2556" t="s">
        <v>260</v>
      </c>
      <c r="N1093" s="2557"/>
      <c r="O1093" s="2557"/>
      <c r="P1093" s="2557"/>
      <c r="Q1093" s="2558"/>
      <c r="R1093" s="248">
        <f>VLOOKUP(A1094,'11 - FINANCEIRA'!_xlnm.Print_Area,8,FALSE)</f>
        <v>0</v>
      </c>
      <c r="S1093" s="249" t="str">
        <f>L1092</f>
        <v>m</v>
      </c>
      <c r="T1093" s="244"/>
      <c r="U1093" s="245"/>
      <c r="V1093" s="174">
        <f t="shared" si="142"/>
        <v>0</v>
      </c>
    </row>
    <row r="1094" spans="1:27" s="40" customFormat="1" hidden="1">
      <c r="A1094" s="1106" t="s">
        <v>91</v>
      </c>
      <c r="B1094" s="246"/>
      <c r="C1094" s="240"/>
      <c r="D1094" s="2524"/>
      <c r="E1094" s="2525"/>
      <c r="F1094" s="2525"/>
      <c r="G1094" s="2525"/>
      <c r="H1094" s="2525"/>
      <c r="I1094" s="2526"/>
      <c r="J1094" s="2519"/>
      <c r="K1094" s="2520"/>
      <c r="L1094" s="2570"/>
      <c r="M1094" s="2574" t="s">
        <v>261</v>
      </c>
      <c r="N1094" s="2575"/>
      <c r="O1094" s="2575"/>
      <c r="P1094" s="2575"/>
      <c r="Q1094" s="2576"/>
      <c r="R1094" s="251">
        <f>R1092-R1093</f>
        <v>0</v>
      </c>
      <c r="S1094" s="252" t="str">
        <f>L1092</f>
        <v>m</v>
      </c>
      <c r="T1094" s="244"/>
      <c r="U1094" s="245"/>
      <c r="V1094" s="174">
        <f>R1094</f>
        <v>0</v>
      </c>
    </row>
    <row r="1095" spans="1:27" s="40" customFormat="1" hidden="1">
      <c r="A1095" s="1106"/>
      <c r="B1095" s="311"/>
      <c r="C1095" s="312"/>
      <c r="D1095" s="313"/>
      <c r="E1095" s="314"/>
      <c r="F1095" s="313"/>
      <c r="G1095" s="313"/>
      <c r="H1095" s="313"/>
      <c r="I1095" s="313"/>
      <c r="J1095" s="315"/>
      <c r="K1095" s="316"/>
      <c r="L1095" s="317"/>
      <c r="M1095" s="318"/>
      <c r="N1095" s="318"/>
      <c r="O1095" s="318"/>
      <c r="P1095" s="318"/>
      <c r="Q1095" s="318"/>
      <c r="R1095" s="319"/>
      <c r="S1095" s="320"/>
      <c r="T1095" s="321"/>
      <c r="U1095" s="322"/>
      <c r="V1095" s="265">
        <f>SUM(V1086:V1094)</f>
        <v>0</v>
      </c>
    </row>
    <row r="1096" spans="1:27" s="326" customFormat="1">
      <c r="A1096" s="1770"/>
      <c r="B1096" s="574" t="str">
        <f>VLOOKUP(A1105,'11 - FINANCEIRA'!_xlnm.Print_Area,1,FALSE)</f>
        <v>3.4</v>
      </c>
      <c r="C1096" s="575" t="str">
        <f>VLOOKUP(LEFT(A1105,9),'11 - FINANCEIRA'!_xlnm.Print_Area,2,FALSE)</f>
        <v>Obras Complementares</v>
      </c>
      <c r="D1096" s="575"/>
      <c r="E1096" s="576"/>
      <c r="F1096" s="575"/>
      <c r="G1096" s="577"/>
      <c r="H1096" s="578"/>
      <c r="I1096" s="578"/>
      <c r="J1096" s="578"/>
      <c r="K1096" s="578"/>
      <c r="L1096" s="578"/>
      <c r="M1096" s="2225"/>
      <c r="N1096" s="2226"/>
      <c r="O1096" s="2225"/>
      <c r="P1096" s="2225"/>
      <c r="Q1096" s="2225"/>
      <c r="R1096" s="2225"/>
      <c r="S1096" s="2225"/>
      <c r="T1096" s="2225"/>
      <c r="U1096" s="2227"/>
      <c r="V1096" s="163" t="e">
        <f>SUM(V1097:V1162)</f>
        <v>#REF!</v>
      </c>
    </row>
    <row r="1097" spans="1:27" s="176" customFormat="1" hidden="1">
      <c r="A1097" s="1106"/>
      <c r="B1097" s="2624">
        <f>VLOOKUP(A1106,'11 - FINANCEIRA'!_xlnm.Print_Area,2,FALSE)</f>
        <v>1600436</v>
      </c>
      <c r="C1097" s="2625" t="str">
        <f>VLOOKUP(A1106,'11 - FINANCEIRA'!_xlnm.Print_Area,3,FALSE)</f>
        <v>Demolição de concreto simples</v>
      </c>
      <c r="D1097" s="2626" t="s">
        <v>242</v>
      </c>
      <c r="E1097" s="2627"/>
      <c r="F1097" s="2627"/>
      <c r="G1097" s="2627"/>
      <c r="H1097" s="2627"/>
      <c r="I1097" s="2628"/>
      <c r="J1097" s="2532" t="s">
        <v>373</v>
      </c>
      <c r="K1097" s="2532" t="s">
        <v>244</v>
      </c>
      <c r="L1097" s="2532" t="s">
        <v>245</v>
      </c>
      <c r="M1097" s="2532" t="s">
        <v>246</v>
      </c>
      <c r="N1097" s="2532" t="s">
        <v>247</v>
      </c>
      <c r="O1097" s="2532" t="s">
        <v>248</v>
      </c>
      <c r="P1097" s="2100" t="s">
        <v>249</v>
      </c>
      <c r="Q1097" s="2532" t="s">
        <v>250</v>
      </c>
      <c r="R1097" s="2623" t="s">
        <v>139</v>
      </c>
      <c r="S1097" s="2532" t="s">
        <v>251</v>
      </c>
      <c r="T1097" s="2532" t="s">
        <v>252</v>
      </c>
      <c r="U1097" s="2622" t="s">
        <v>253</v>
      </c>
      <c r="V1097" s="174">
        <f t="shared" ref="V1097:V1105" si="143">V1098</f>
        <v>0</v>
      </c>
      <c r="W1097" s="175"/>
      <c r="X1097" s="175"/>
      <c r="Y1097" s="175"/>
      <c r="Z1097" s="175"/>
      <c r="AA1097" s="175"/>
    </row>
    <row r="1098" spans="1:27" s="176" customFormat="1" hidden="1">
      <c r="A1098" s="1106"/>
      <c r="B1098" s="2464"/>
      <c r="C1098" s="2504"/>
      <c r="D1098" s="2475" t="s">
        <v>254</v>
      </c>
      <c r="E1098" s="2476"/>
      <c r="F1098" s="2477"/>
      <c r="G1098" s="2469" t="s">
        <v>255</v>
      </c>
      <c r="H1098" s="2470"/>
      <c r="I1098" s="2471"/>
      <c r="J1098" s="2468"/>
      <c r="K1098" s="2468"/>
      <c r="L1098" s="2468"/>
      <c r="M1098" s="2468"/>
      <c r="N1098" s="2468"/>
      <c r="O1098" s="2468"/>
      <c r="P1098" s="177" t="s">
        <v>256</v>
      </c>
      <c r="Q1098" s="2468"/>
      <c r="R1098" s="2580"/>
      <c r="S1098" s="2468"/>
      <c r="T1098" s="2468"/>
      <c r="U1098" s="2585"/>
      <c r="V1098" s="174">
        <f t="shared" si="143"/>
        <v>0</v>
      </c>
      <c r="W1098" s="175"/>
      <c r="X1098" s="175"/>
      <c r="Y1098" s="175"/>
      <c r="Z1098" s="175"/>
      <c r="AA1098" s="175"/>
    </row>
    <row r="1099" spans="1:27" s="176" customFormat="1" ht="30" hidden="1">
      <c r="A1099" s="1110"/>
      <c r="B1099" s="336"/>
      <c r="C1099" s="339" t="s">
        <v>378</v>
      </c>
      <c r="D1099" s="496">
        <v>8</v>
      </c>
      <c r="E1099" s="464" t="s">
        <v>299</v>
      </c>
      <c r="F1099" s="463">
        <v>5.56</v>
      </c>
      <c r="G1099" s="487"/>
      <c r="H1099" s="473"/>
      <c r="I1099" s="488"/>
      <c r="J1099" s="275"/>
      <c r="K1099" s="275"/>
      <c r="L1099" s="275"/>
      <c r="M1099" s="275"/>
      <c r="N1099" s="275"/>
      <c r="O1099" s="477">
        <v>0.31</v>
      </c>
      <c r="P1099" s="461"/>
      <c r="Q1099" s="509"/>
      <c r="R1099" s="462">
        <f>O1099</f>
        <v>0.31</v>
      </c>
      <c r="S1099" s="340" t="s">
        <v>164</v>
      </c>
      <c r="T1099" s="347">
        <v>6</v>
      </c>
      <c r="U1099" s="492" t="s">
        <v>379</v>
      </c>
      <c r="V1099" s="306">
        <f t="shared" si="143"/>
        <v>0</v>
      </c>
      <c r="W1099" s="175"/>
      <c r="X1099" s="175"/>
      <c r="Y1099" s="175"/>
      <c r="Z1099" s="175"/>
      <c r="AA1099" s="175"/>
    </row>
    <row r="1100" spans="1:27" s="176" customFormat="1" ht="30" hidden="1">
      <c r="A1100" s="1110"/>
      <c r="B1100" s="610"/>
      <c r="C1100" s="547" t="s">
        <v>378</v>
      </c>
      <c r="D1100" s="611">
        <v>3</v>
      </c>
      <c r="E1100" s="714" t="s">
        <v>299</v>
      </c>
      <c r="F1100" s="565">
        <v>11</v>
      </c>
      <c r="G1100" s="300"/>
      <c r="H1100" s="301"/>
      <c r="I1100" s="302"/>
      <c r="J1100" s="192"/>
      <c r="K1100" s="297"/>
      <c r="L1100" s="192"/>
      <c r="M1100" s="299"/>
      <c r="N1100" s="298"/>
      <c r="O1100" s="834">
        <v>1.67</v>
      </c>
      <c r="P1100" s="461"/>
      <c r="Q1100" s="509"/>
      <c r="R1100" s="462">
        <f>O1100</f>
        <v>1.67</v>
      </c>
      <c r="S1100" s="340" t="s">
        <v>144</v>
      </c>
      <c r="T1100" s="347">
        <v>6</v>
      </c>
      <c r="U1100" s="492" t="s">
        <v>379</v>
      </c>
      <c r="V1100" s="306">
        <f>V1102</f>
        <v>0</v>
      </c>
      <c r="W1100" s="175"/>
      <c r="X1100" s="175"/>
      <c r="Y1100" s="175"/>
      <c r="Z1100" s="175"/>
      <c r="AA1100" s="175"/>
    </row>
    <row r="1101" spans="1:27" s="176" customFormat="1" ht="30" hidden="1">
      <c r="A1101" s="1110"/>
      <c r="B1101" s="296"/>
      <c r="C1101" s="339" t="s">
        <v>378</v>
      </c>
      <c r="D1101" s="496">
        <v>8</v>
      </c>
      <c r="E1101" s="464" t="s">
        <v>299</v>
      </c>
      <c r="F1101" s="463">
        <v>5.56</v>
      </c>
      <c r="G1101" s="458"/>
      <c r="H1101" s="459"/>
      <c r="I1101" s="460"/>
      <c r="J1101" s="340"/>
      <c r="K1101" s="340"/>
      <c r="L1101" s="340"/>
      <c r="M1101" s="340"/>
      <c r="N1101" s="340"/>
      <c r="O1101" s="477">
        <v>0.31</v>
      </c>
      <c r="P1101" s="461"/>
      <c r="Q1101" s="509"/>
      <c r="R1101" s="462">
        <f>O1101</f>
        <v>0.31</v>
      </c>
      <c r="S1101" s="340" t="s">
        <v>164</v>
      </c>
      <c r="T1101" s="347">
        <v>13</v>
      </c>
      <c r="U1101" s="492" t="s">
        <v>379</v>
      </c>
      <c r="V1101" s="306">
        <f t="shared" si="143"/>
        <v>0</v>
      </c>
      <c r="W1101" s="175"/>
      <c r="X1101" s="175"/>
      <c r="Y1101" s="175"/>
      <c r="Z1101" s="175"/>
      <c r="AA1101" s="175"/>
    </row>
    <row r="1102" spans="1:27" s="176" customFormat="1" ht="30" hidden="1">
      <c r="A1102" s="1110"/>
      <c r="B1102" s="296"/>
      <c r="C1102" s="339" t="s">
        <v>378</v>
      </c>
      <c r="D1102" s="496">
        <v>3</v>
      </c>
      <c r="E1102" s="464" t="s">
        <v>299</v>
      </c>
      <c r="F1102" s="498">
        <v>11</v>
      </c>
      <c r="G1102" s="458"/>
      <c r="H1102" s="459"/>
      <c r="I1102" s="460"/>
      <c r="J1102" s="340"/>
      <c r="K1102" s="560"/>
      <c r="L1102" s="340"/>
      <c r="M1102" s="463"/>
      <c r="N1102" s="464"/>
      <c r="O1102" s="477">
        <v>1.67</v>
      </c>
      <c r="P1102" s="461"/>
      <c r="Q1102" s="509"/>
      <c r="R1102" s="462">
        <f>O1102</f>
        <v>1.67</v>
      </c>
      <c r="S1102" s="340" t="s">
        <v>144</v>
      </c>
      <c r="T1102" s="347">
        <v>13</v>
      </c>
      <c r="U1102" s="492" t="s">
        <v>379</v>
      </c>
      <c r="V1102" s="306">
        <f>V1104</f>
        <v>0</v>
      </c>
      <c r="W1102" s="175"/>
      <c r="X1102" s="175"/>
      <c r="Y1102" s="175"/>
      <c r="Z1102" s="175"/>
      <c r="AA1102" s="175"/>
    </row>
    <row r="1103" spans="1:27" s="175" customFormat="1" hidden="1">
      <c r="A1103" s="1110"/>
      <c r="B1103" s="358"/>
      <c r="C1103" s="359"/>
      <c r="D1103" s="587"/>
      <c r="E1103" s="588"/>
      <c r="F1103" s="589"/>
      <c r="G1103" s="587"/>
      <c r="H1103" s="588"/>
      <c r="I1103" s="589"/>
      <c r="J1103" s="360"/>
      <c r="K1103" s="361"/>
      <c r="L1103" s="362"/>
      <c r="M1103" s="363"/>
      <c r="N1103" s="364"/>
      <c r="O1103" s="365"/>
      <c r="P1103" s="362"/>
      <c r="Q1103" s="366"/>
      <c r="R1103" s="367"/>
      <c r="S1103" s="368"/>
      <c r="T1103" s="369"/>
      <c r="U1103" s="370"/>
      <c r="V1103" s="306">
        <f t="shared" si="143"/>
        <v>0</v>
      </c>
    </row>
    <row r="1104" spans="1:27" s="40" customFormat="1" hidden="1">
      <c r="A1104" s="1106"/>
      <c r="B1104" s="246"/>
      <c r="C1104" s="240"/>
      <c r="D1104" s="2527" t="s">
        <v>257</v>
      </c>
      <c r="E1104" s="2528"/>
      <c r="F1104" s="2528"/>
      <c r="G1104" s="2528"/>
      <c r="H1104" s="2528"/>
      <c r="I1104" s="2529"/>
      <c r="J1104" s="2488">
        <f>VLOOKUP(A1106,'11 - FINANCEIRA'!_xlnm.Print_Area,28,FALSE)</f>
        <v>3.96</v>
      </c>
      <c r="K1104" s="2489"/>
      <c r="L1104" s="309" t="str">
        <f>VLOOKUP(A1106,'11 - FINANCEIRA'!_xlnm.Print_Area,4,FALSE)</f>
        <v>m³</v>
      </c>
      <c r="M1104" s="2556" t="s">
        <v>258</v>
      </c>
      <c r="N1104" s="2557"/>
      <c r="O1104" s="2557"/>
      <c r="P1104" s="2557"/>
      <c r="Q1104" s="2558"/>
      <c r="R1104" s="248">
        <f>SUM(R1099:R1103)</f>
        <v>3.96</v>
      </c>
      <c r="S1104" s="310" t="str">
        <f>L1104</f>
        <v>m³</v>
      </c>
      <c r="T1104" s="244"/>
      <c r="U1104" s="245"/>
      <c r="V1104" s="174">
        <f t="shared" si="143"/>
        <v>0</v>
      </c>
    </row>
    <row r="1105" spans="1:27" s="40" customFormat="1" hidden="1">
      <c r="A1105" s="1106" t="s">
        <v>92</v>
      </c>
      <c r="B1105" s="246"/>
      <c r="C1105" s="247"/>
      <c r="D1105" s="2521" t="s">
        <v>259</v>
      </c>
      <c r="E1105" s="2522"/>
      <c r="F1105" s="2522"/>
      <c r="G1105" s="2522"/>
      <c r="H1105" s="2522"/>
      <c r="I1105" s="2523"/>
      <c r="J1105" s="2515">
        <f>R1104/J1104</f>
        <v>1</v>
      </c>
      <c r="K1105" s="2516"/>
      <c r="L1105" s="2554"/>
      <c r="M1105" s="2556" t="s">
        <v>260</v>
      </c>
      <c r="N1105" s="2557"/>
      <c r="O1105" s="2557"/>
      <c r="P1105" s="2557"/>
      <c r="Q1105" s="2558"/>
      <c r="R1105" s="248">
        <f>VLOOKUP(A1106,'11 - FINANCEIRA'!_xlnm.Print_Area,8,FALSE)</f>
        <v>3.96</v>
      </c>
      <c r="S1105" s="249" t="str">
        <f>L1104</f>
        <v>m³</v>
      </c>
      <c r="T1105" s="244"/>
      <c r="U1105" s="245"/>
      <c r="V1105" s="174">
        <f t="shared" si="143"/>
        <v>0</v>
      </c>
    </row>
    <row r="1106" spans="1:27" s="40" customFormat="1" hidden="1">
      <c r="A1106" s="1106" t="s">
        <v>93</v>
      </c>
      <c r="B1106" s="246"/>
      <c r="C1106" s="240"/>
      <c r="D1106" s="2524"/>
      <c r="E1106" s="2525"/>
      <c r="F1106" s="2525"/>
      <c r="G1106" s="2525"/>
      <c r="H1106" s="2525"/>
      <c r="I1106" s="2526"/>
      <c r="J1106" s="2519"/>
      <c r="K1106" s="2520"/>
      <c r="L1106" s="2570"/>
      <c r="M1106" s="2574" t="s">
        <v>261</v>
      </c>
      <c r="N1106" s="2575"/>
      <c r="O1106" s="2575"/>
      <c r="P1106" s="2575"/>
      <c r="Q1106" s="2576"/>
      <c r="R1106" s="251">
        <f>R1104-R1105</f>
        <v>0</v>
      </c>
      <c r="S1106" s="252" t="str">
        <f>L1104</f>
        <v>m³</v>
      </c>
      <c r="T1106" s="244"/>
      <c r="U1106" s="245"/>
      <c r="V1106" s="174">
        <f>R1106</f>
        <v>0</v>
      </c>
    </row>
    <row r="1107" spans="1:27" s="40" customFormat="1" hidden="1">
      <c r="A1107" s="1106"/>
      <c r="B1107" s="2619"/>
      <c r="C1107" s="2620"/>
      <c r="D1107" s="2620"/>
      <c r="E1107" s="2620"/>
      <c r="F1107" s="2620"/>
      <c r="G1107" s="2620"/>
      <c r="H1107" s="2620"/>
      <c r="I1107" s="2620"/>
      <c r="J1107" s="2620"/>
      <c r="K1107" s="2620"/>
      <c r="L1107" s="2620"/>
      <c r="M1107" s="2620"/>
      <c r="N1107" s="2620"/>
      <c r="O1107" s="2620"/>
      <c r="P1107" s="2620"/>
      <c r="Q1107" s="2620"/>
      <c r="R1107" s="2620"/>
      <c r="S1107" s="2620"/>
      <c r="T1107" s="2620"/>
      <c r="U1107" s="2621"/>
      <c r="V1107" s="265">
        <f>SUM(V1097:V1106)</f>
        <v>0</v>
      </c>
    </row>
    <row r="1108" spans="1:27" s="176" customFormat="1">
      <c r="A1108" s="1106"/>
      <c r="B1108" s="2494">
        <f>VLOOKUP(A1121,'11 - FINANCEIRA'!_xlnm.Print_Area,2,FALSE)</f>
        <v>42504</v>
      </c>
      <c r="C1108" s="2617" t="str">
        <f>VLOOKUP(A1121,'11 - FINANCEIRA'!_xlnm.Print_Area,3,FALSE)</f>
        <v>Remoção e reassentamento de blocos de concreto, inclusive perdas em Vias Urbanas</v>
      </c>
      <c r="D1108" s="2581" t="s">
        <v>242</v>
      </c>
      <c r="E1108" s="2582"/>
      <c r="F1108" s="2582"/>
      <c r="G1108" s="2582"/>
      <c r="H1108" s="2582"/>
      <c r="I1108" s="2583"/>
      <c r="J1108" s="2496" t="s">
        <v>373</v>
      </c>
      <c r="K1108" s="2496" t="s">
        <v>244</v>
      </c>
      <c r="L1108" s="2598" t="s">
        <v>245</v>
      </c>
      <c r="M1108" s="2496" t="s">
        <v>246</v>
      </c>
      <c r="N1108" s="2496" t="s">
        <v>247</v>
      </c>
      <c r="O1108" s="2496" t="s">
        <v>248</v>
      </c>
      <c r="P1108" s="409" t="s">
        <v>249</v>
      </c>
      <c r="Q1108" s="2496" t="s">
        <v>250</v>
      </c>
      <c r="R1108" s="2577" t="s">
        <v>139</v>
      </c>
      <c r="S1108" s="2496" t="s">
        <v>251</v>
      </c>
      <c r="T1108" s="2496" t="s">
        <v>252</v>
      </c>
      <c r="U1108" s="2586" t="s">
        <v>253</v>
      </c>
      <c r="V1108" s="174">
        <f t="shared" ref="V1108:V1120" si="144">V1109</f>
        <v>46.200000000000045</v>
      </c>
      <c r="W1108" s="175"/>
      <c r="X1108" s="175"/>
      <c r="Y1108" s="175"/>
      <c r="Z1108" s="175"/>
      <c r="AA1108" s="175"/>
    </row>
    <row r="1109" spans="1:27" s="176" customFormat="1">
      <c r="A1109" s="1106"/>
      <c r="B1109" s="2495"/>
      <c r="C1109" s="2618"/>
      <c r="D1109" s="2588" t="s">
        <v>254</v>
      </c>
      <c r="E1109" s="2589"/>
      <c r="F1109" s="2590"/>
      <c r="G1109" s="2591" t="s">
        <v>255</v>
      </c>
      <c r="H1109" s="2592"/>
      <c r="I1109" s="2593"/>
      <c r="J1109" s="2497"/>
      <c r="K1109" s="2497"/>
      <c r="L1109" s="2599"/>
      <c r="M1109" s="2497"/>
      <c r="N1109" s="2497"/>
      <c r="O1109" s="2497"/>
      <c r="P1109" s="410" t="s">
        <v>256</v>
      </c>
      <c r="Q1109" s="2497"/>
      <c r="R1109" s="2578"/>
      <c r="S1109" s="2497"/>
      <c r="T1109" s="2497"/>
      <c r="U1109" s="2587"/>
      <c r="V1109" s="174">
        <f t="shared" si="144"/>
        <v>46.200000000000045</v>
      </c>
      <c r="W1109" s="175"/>
      <c r="X1109" s="175"/>
      <c r="Y1109" s="175"/>
      <c r="Z1109" s="175"/>
      <c r="AA1109" s="175"/>
    </row>
    <row r="1110" spans="1:27" s="176" customFormat="1" ht="30">
      <c r="A1110" s="1106"/>
      <c r="B1110" s="609"/>
      <c r="C1110" s="547" t="s">
        <v>380</v>
      </c>
      <c r="D1110" s="443">
        <v>0</v>
      </c>
      <c r="E1110" s="904" t="s">
        <v>299</v>
      </c>
      <c r="F1110" s="445">
        <v>14.04</v>
      </c>
      <c r="G1110" s="443">
        <v>9</v>
      </c>
      <c r="H1110" s="904" t="s">
        <v>299</v>
      </c>
      <c r="I1110" s="445">
        <v>0</v>
      </c>
      <c r="J1110" s="411"/>
      <c r="K1110" s="555">
        <f t="shared" ref="K1110:K1116" si="145">(-D1110+G1110)*20+I1110-F1110</f>
        <v>165.96</v>
      </c>
      <c r="L1110" s="556">
        <v>7</v>
      </c>
      <c r="M1110" s="411"/>
      <c r="N1110" s="555">
        <f t="shared" ref="N1110:N1116" si="146">K1110*L1110</f>
        <v>1161.72</v>
      </c>
      <c r="O1110" s="411"/>
      <c r="P1110" s="449"/>
      <c r="Q1110" s="411"/>
      <c r="R1110" s="476">
        <f t="shared" ref="R1110:R1116" si="147">TRUNC(N1110/2,3)</f>
        <v>580.86</v>
      </c>
      <c r="S1110" s="411" t="s">
        <v>151</v>
      </c>
      <c r="T1110" s="451">
        <v>5</v>
      </c>
      <c r="U1110" s="2183" t="s">
        <v>381</v>
      </c>
      <c r="V1110" s="174">
        <f>V1112</f>
        <v>46.200000000000045</v>
      </c>
      <c r="W1110" s="175"/>
      <c r="X1110" s="175"/>
      <c r="Y1110" s="175"/>
      <c r="Z1110" s="175"/>
      <c r="AA1110" s="175"/>
    </row>
    <row r="1111" spans="1:27" s="176" customFormat="1" ht="30">
      <c r="A1111" s="1110"/>
      <c r="B1111" s="296"/>
      <c r="C1111" s="339" t="s">
        <v>380</v>
      </c>
      <c r="D1111" s="496">
        <v>19</v>
      </c>
      <c r="E1111" s="606" t="s">
        <v>299</v>
      </c>
      <c r="F1111" s="498">
        <v>2</v>
      </c>
      <c r="G1111" s="496">
        <v>21</v>
      </c>
      <c r="H1111" s="606" t="s">
        <v>299</v>
      </c>
      <c r="I1111" s="498">
        <v>9</v>
      </c>
      <c r="J1111" s="340"/>
      <c r="K1111" s="434">
        <f t="shared" si="145"/>
        <v>47</v>
      </c>
      <c r="L1111" s="558">
        <v>7</v>
      </c>
      <c r="M1111" s="340"/>
      <c r="N1111" s="434">
        <f t="shared" si="146"/>
        <v>329</v>
      </c>
      <c r="O1111" s="340"/>
      <c r="P1111" s="461"/>
      <c r="Q1111" s="340"/>
      <c r="R1111" s="479">
        <f t="shared" si="147"/>
        <v>164.5</v>
      </c>
      <c r="S1111" s="340" t="s">
        <v>151</v>
      </c>
      <c r="T1111" s="347">
        <v>15</v>
      </c>
      <c r="U1111" s="435" t="s">
        <v>381</v>
      </c>
      <c r="V1111" s="306" t="e">
        <f>#REF!</f>
        <v>#REF!</v>
      </c>
      <c r="W1111" s="175"/>
      <c r="X1111" s="175"/>
      <c r="Y1111" s="175"/>
      <c r="Z1111" s="175"/>
      <c r="AA1111" s="175"/>
    </row>
    <row r="1112" spans="1:27" s="176" customFormat="1" ht="30">
      <c r="A1112" s="1110"/>
      <c r="B1112" s="1597"/>
      <c r="C1112" s="1598" t="s">
        <v>380</v>
      </c>
      <c r="D1112" s="2230">
        <f>G1111</f>
        <v>21</v>
      </c>
      <c r="E1112" s="2279" t="s">
        <v>299</v>
      </c>
      <c r="F1112" s="1157">
        <f>I1111</f>
        <v>9</v>
      </c>
      <c r="G1112" s="2230">
        <v>25</v>
      </c>
      <c r="H1112" s="2279" t="s">
        <v>299</v>
      </c>
      <c r="I1112" s="1157">
        <v>16</v>
      </c>
      <c r="J1112" s="360"/>
      <c r="K1112" s="1710">
        <f t="shared" si="145"/>
        <v>87</v>
      </c>
      <c r="L1112" s="1709">
        <v>7</v>
      </c>
      <c r="M1112" s="360"/>
      <c r="N1112" s="1710">
        <f t="shared" si="146"/>
        <v>609</v>
      </c>
      <c r="O1112" s="360"/>
      <c r="P1112" s="1599"/>
      <c r="Q1112" s="360"/>
      <c r="R1112" s="2280">
        <f t="shared" si="147"/>
        <v>304.5</v>
      </c>
      <c r="S1112" s="360" t="s">
        <v>151</v>
      </c>
      <c r="T1112" s="369">
        <v>16</v>
      </c>
      <c r="U1112" s="1712" t="s">
        <v>381</v>
      </c>
      <c r="V1112" s="306">
        <f>V1119</f>
        <v>46.200000000000045</v>
      </c>
      <c r="W1112" s="175"/>
      <c r="X1112" s="175"/>
      <c r="Y1112" s="175"/>
      <c r="Z1112" s="175"/>
      <c r="AA1112" s="175"/>
    </row>
    <row r="1113" spans="1:27" s="176" customFormat="1" ht="30" hidden="1">
      <c r="A1113" s="1109"/>
      <c r="B1113" s="1032"/>
      <c r="C1113" s="343" t="s">
        <v>380</v>
      </c>
      <c r="D1113" s="1033">
        <f>G1112</f>
        <v>25</v>
      </c>
      <c r="E1113" s="1035" t="s">
        <v>299</v>
      </c>
      <c r="F1113" s="1034">
        <f>I1112</f>
        <v>16</v>
      </c>
      <c r="G1113" s="1033">
        <v>31</v>
      </c>
      <c r="H1113" s="1035" t="s">
        <v>299</v>
      </c>
      <c r="I1113" s="1034">
        <v>12</v>
      </c>
      <c r="J1113" s="1702"/>
      <c r="K1113" s="954">
        <f t="shared" si="145"/>
        <v>116</v>
      </c>
      <c r="L1113" s="954">
        <v>4.2</v>
      </c>
      <c r="M1113" s="1702"/>
      <c r="N1113" s="954">
        <f t="shared" si="146"/>
        <v>487.20000000000005</v>
      </c>
      <c r="O1113" s="1702"/>
      <c r="P1113" s="2115"/>
      <c r="Q1113" s="1702"/>
      <c r="R1113" s="2155">
        <f t="shared" si="147"/>
        <v>243.6</v>
      </c>
      <c r="S1113" s="1702" t="s">
        <v>151</v>
      </c>
      <c r="T1113" s="2117">
        <v>23</v>
      </c>
      <c r="U1113" s="2118" t="s">
        <v>381</v>
      </c>
      <c r="V1113" s="1182" t="s">
        <v>1092</v>
      </c>
      <c r="W1113" s="175"/>
      <c r="X1113" s="175"/>
      <c r="Y1113" s="175"/>
      <c r="Z1113" s="175"/>
      <c r="AA1113" s="175"/>
    </row>
    <row r="1114" spans="1:27" s="176" customFormat="1" ht="30" hidden="1">
      <c r="A1114" s="1109"/>
      <c r="B1114" s="1008"/>
      <c r="C1114" s="339" t="s">
        <v>380</v>
      </c>
      <c r="D1114" s="623">
        <f t="shared" ref="D1114:I1114" si="148">D972</f>
        <v>35</v>
      </c>
      <c r="E1114" s="624" t="str">
        <f t="shared" si="148"/>
        <v>+</v>
      </c>
      <c r="F1114" s="625">
        <f t="shared" si="148"/>
        <v>14</v>
      </c>
      <c r="G1114" s="623">
        <f t="shared" si="148"/>
        <v>39</v>
      </c>
      <c r="H1114" s="624" t="str">
        <f t="shared" si="148"/>
        <v>+</v>
      </c>
      <c r="I1114" s="625">
        <f t="shared" si="148"/>
        <v>16</v>
      </c>
      <c r="J1114" s="509"/>
      <c r="K1114" s="558">
        <f t="shared" si="145"/>
        <v>82</v>
      </c>
      <c r="L1114" s="558">
        <v>4.2</v>
      </c>
      <c r="M1114" s="509"/>
      <c r="N1114" s="558">
        <f t="shared" si="146"/>
        <v>344.40000000000003</v>
      </c>
      <c r="O1114" s="509"/>
      <c r="P1114" s="536"/>
      <c r="Q1114" s="509"/>
      <c r="R1114" s="1181">
        <f t="shared" si="147"/>
        <v>172.2</v>
      </c>
      <c r="S1114" s="509" t="s">
        <v>151</v>
      </c>
      <c r="T1114" s="539">
        <v>25</v>
      </c>
      <c r="U1114" s="492" t="s">
        <v>381</v>
      </c>
      <c r="V1114" s="1182" t="s">
        <v>1092</v>
      </c>
      <c r="W1114" s="175"/>
      <c r="X1114" s="175"/>
      <c r="Y1114" s="175"/>
      <c r="Z1114" s="175"/>
      <c r="AA1114" s="175"/>
    </row>
    <row r="1115" spans="1:27" s="176" customFormat="1" ht="30" hidden="1">
      <c r="A1115" s="1109"/>
      <c r="B1115" s="1008"/>
      <c r="C1115" s="339" t="s">
        <v>380</v>
      </c>
      <c r="D1115" s="623">
        <f t="shared" ref="D1115:I1117" si="149">D316</f>
        <v>31</v>
      </c>
      <c r="E1115" s="624" t="str">
        <f t="shared" si="149"/>
        <v>+</v>
      </c>
      <c r="F1115" s="625">
        <f t="shared" si="149"/>
        <v>12</v>
      </c>
      <c r="G1115" s="623">
        <f t="shared" si="149"/>
        <v>35</v>
      </c>
      <c r="H1115" s="624" t="str">
        <f t="shared" si="149"/>
        <v>+</v>
      </c>
      <c r="I1115" s="625">
        <f t="shared" si="149"/>
        <v>14</v>
      </c>
      <c r="J1115" s="509"/>
      <c r="K1115" s="558">
        <f t="shared" si="145"/>
        <v>82</v>
      </c>
      <c r="L1115" s="558">
        <v>4.2</v>
      </c>
      <c r="M1115" s="509"/>
      <c r="N1115" s="558">
        <f t="shared" si="146"/>
        <v>344.40000000000003</v>
      </c>
      <c r="O1115" s="509"/>
      <c r="P1115" s="536"/>
      <c r="Q1115" s="509"/>
      <c r="R1115" s="1181">
        <f t="shared" si="147"/>
        <v>172.2</v>
      </c>
      <c r="S1115" s="509" t="s">
        <v>151</v>
      </c>
      <c r="T1115" s="539">
        <v>26</v>
      </c>
      <c r="U1115" s="492" t="s">
        <v>381</v>
      </c>
      <c r="V1115" s="1182" t="s">
        <v>1092</v>
      </c>
      <c r="W1115" s="175"/>
      <c r="X1115" s="175"/>
      <c r="Y1115" s="175"/>
      <c r="Z1115" s="175"/>
      <c r="AA1115" s="175"/>
    </row>
    <row r="1116" spans="1:27" s="176" customFormat="1" ht="30" hidden="1">
      <c r="A1116" s="1109"/>
      <c r="B1116" s="1671"/>
      <c r="C1116" s="547" t="s">
        <v>380</v>
      </c>
      <c r="D1116" s="821">
        <f t="shared" si="149"/>
        <v>39</v>
      </c>
      <c r="E1116" s="1184" t="str">
        <f t="shared" si="149"/>
        <v>+</v>
      </c>
      <c r="F1116" s="823">
        <f t="shared" si="149"/>
        <v>16</v>
      </c>
      <c r="G1116" s="821">
        <f t="shared" si="149"/>
        <v>41</v>
      </c>
      <c r="H1116" s="1184" t="str">
        <f t="shared" si="149"/>
        <v>+</v>
      </c>
      <c r="I1116" s="823">
        <f t="shared" si="149"/>
        <v>16</v>
      </c>
      <c r="J1116" s="1160"/>
      <c r="K1116" s="614">
        <f t="shared" si="145"/>
        <v>40</v>
      </c>
      <c r="L1116" s="614">
        <v>4.2</v>
      </c>
      <c r="M1116" s="1160"/>
      <c r="N1116" s="614">
        <f t="shared" si="146"/>
        <v>168</v>
      </c>
      <c r="O1116" s="1160"/>
      <c r="P1116" s="1188"/>
      <c r="Q1116" s="1160"/>
      <c r="R1116" s="2041">
        <f t="shared" si="147"/>
        <v>84</v>
      </c>
      <c r="S1116" s="1160" t="s">
        <v>151</v>
      </c>
      <c r="T1116" s="632">
        <v>26</v>
      </c>
      <c r="U1116" s="633" t="s">
        <v>381</v>
      </c>
      <c r="V1116" s="1182" t="s">
        <v>1092</v>
      </c>
      <c r="W1116" s="175"/>
      <c r="X1116" s="175"/>
      <c r="Y1116" s="175"/>
      <c r="Z1116" s="175"/>
      <c r="AA1116" s="175"/>
    </row>
    <row r="1117" spans="1:27" s="176" customFormat="1" ht="30">
      <c r="A1117" s="1110"/>
      <c r="B1117" s="512"/>
      <c r="C1117" s="266" t="s">
        <v>380</v>
      </c>
      <c r="D1117" s="419">
        <f t="shared" si="149"/>
        <v>41</v>
      </c>
      <c r="E1117" s="592" t="str">
        <f t="shared" si="149"/>
        <v>+</v>
      </c>
      <c r="F1117" s="421">
        <f t="shared" si="149"/>
        <v>16</v>
      </c>
      <c r="G1117" s="419">
        <f t="shared" si="149"/>
        <v>42</v>
      </c>
      <c r="H1117" s="592" t="str">
        <f t="shared" si="149"/>
        <v>+</v>
      </c>
      <c r="I1117" s="421">
        <f t="shared" si="149"/>
        <v>12</v>
      </c>
      <c r="J1117" s="425"/>
      <c r="K1117" s="548">
        <f t="shared" ref="K1117" si="150">(-D1117+G1117)*20+I1117-F1117</f>
        <v>16</v>
      </c>
      <c r="L1117" s="548">
        <v>4.2</v>
      </c>
      <c r="M1117" s="425"/>
      <c r="N1117" s="548">
        <f t="shared" ref="N1117" si="151">K1117*L1117</f>
        <v>67.2</v>
      </c>
      <c r="O1117" s="425"/>
      <c r="P1117" s="514"/>
      <c r="Q1117" s="425"/>
      <c r="R1117" s="2281">
        <f t="shared" ref="R1117" si="152">TRUNC(N1117/2,3)</f>
        <v>33.6</v>
      </c>
      <c r="S1117" s="425" t="s">
        <v>151</v>
      </c>
      <c r="T1117" s="427">
        <v>27</v>
      </c>
      <c r="U1117" s="637" t="s">
        <v>381</v>
      </c>
      <c r="V1117" s="1182" t="s">
        <v>1092</v>
      </c>
      <c r="W1117" s="175"/>
      <c r="X1117" s="175"/>
      <c r="Y1117" s="175"/>
      <c r="Z1117" s="175"/>
      <c r="AA1117" s="175"/>
    </row>
    <row r="1118" spans="1:27" s="176" customFormat="1" ht="30">
      <c r="A1118" s="1110"/>
      <c r="B1118" s="1665"/>
      <c r="C1118" s="972" t="s">
        <v>380</v>
      </c>
      <c r="D1118" s="1052">
        <v>42</v>
      </c>
      <c r="E1118" s="1056" t="str">
        <f>E319</f>
        <v>+</v>
      </c>
      <c r="F1118" s="1057">
        <f>F319</f>
        <v>12</v>
      </c>
      <c r="G1118" s="1052">
        <v>43</v>
      </c>
      <c r="H1118" s="1056" t="str">
        <f>H319</f>
        <v>+</v>
      </c>
      <c r="I1118" s="1057">
        <v>14</v>
      </c>
      <c r="J1118" s="1637"/>
      <c r="K1118" s="1030">
        <f t="shared" ref="K1118" si="153">(-D1118+G1118)*20+I1118-F1118</f>
        <v>22</v>
      </c>
      <c r="L1118" s="1030">
        <v>4.2</v>
      </c>
      <c r="M1118" s="1637"/>
      <c r="N1118" s="1030">
        <f t="shared" ref="N1118" si="154">K1118*L1118</f>
        <v>92.4</v>
      </c>
      <c r="O1118" s="1637"/>
      <c r="P1118" s="1658"/>
      <c r="Q1118" s="1637"/>
      <c r="R1118" s="1666">
        <f>TRUNC(N1118/2,3)</f>
        <v>46.2</v>
      </c>
      <c r="S1118" s="1637" t="s">
        <v>151</v>
      </c>
      <c r="T1118" s="915">
        <v>28</v>
      </c>
      <c r="U1118" s="1119" t="s">
        <v>381</v>
      </c>
      <c r="V1118" s="1182" t="s">
        <v>1092</v>
      </c>
      <c r="W1118" s="175"/>
      <c r="X1118" s="175"/>
      <c r="Y1118" s="175"/>
      <c r="Z1118" s="175"/>
      <c r="AA1118" s="175"/>
    </row>
    <row r="1119" spans="1:27" s="40" customFormat="1">
      <c r="A1119" s="1106"/>
      <c r="B1119" s="645"/>
      <c r="C1119" s="1614"/>
      <c r="D1119" s="2548" t="s">
        <v>257</v>
      </c>
      <c r="E1119" s="2549"/>
      <c r="F1119" s="2549"/>
      <c r="G1119" s="2549"/>
      <c r="H1119" s="2549"/>
      <c r="I1119" s="2550"/>
      <c r="J1119" s="2490">
        <f>VLOOKUP(A1121,'11 - FINANCEIRA'!$A$16:$AE$156,30,FALSE)</f>
        <v>3759.71</v>
      </c>
      <c r="K1119" s="2491"/>
      <c r="L1119" s="590" t="str">
        <f>VLOOKUP(A1121,'11 - FINANCEIRA'!_xlnm.Print_Area,4,FALSE)</f>
        <v>m²</v>
      </c>
      <c r="M1119" s="2561" t="s">
        <v>258</v>
      </c>
      <c r="N1119" s="2562"/>
      <c r="O1119" s="2562"/>
      <c r="P1119" s="2562"/>
      <c r="Q1119" s="2563"/>
      <c r="R1119" s="375">
        <f>SUM(R1110:R1118)</f>
        <v>1801.66</v>
      </c>
      <c r="S1119" s="591" t="str">
        <f>L1119</f>
        <v>m²</v>
      </c>
      <c r="T1119" s="390"/>
      <c r="U1119" s="391"/>
      <c r="V1119" s="174">
        <f t="shared" si="144"/>
        <v>46.200000000000045</v>
      </c>
    </row>
    <row r="1120" spans="1:27" s="40" customFormat="1">
      <c r="A1120" s="1106"/>
      <c r="B1120" s="1350"/>
      <c r="C1120" s="1351"/>
      <c r="D1120" s="2505" t="s">
        <v>259</v>
      </c>
      <c r="E1120" s="2506"/>
      <c r="F1120" s="2506"/>
      <c r="G1120" s="2506"/>
      <c r="H1120" s="2506"/>
      <c r="I1120" s="2507"/>
      <c r="J1120" s="2511">
        <f>R1119/J1119</f>
        <v>0.47920185333443271</v>
      </c>
      <c r="K1120" s="2512"/>
      <c r="L1120" s="2559"/>
      <c r="M1120" s="2561" t="s">
        <v>260</v>
      </c>
      <c r="N1120" s="2562"/>
      <c r="O1120" s="2562"/>
      <c r="P1120" s="2562"/>
      <c r="Q1120" s="2563"/>
      <c r="R1120" s="375">
        <f>VLOOKUP(A1121,'11 - FINANCEIRA'!_xlnm.Print_Area,8,FALSE)</f>
        <v>1755.46</v>
      </c>
      <c r="S1120" s="376" t="str">
        <f>L1119</f>
        <v>m²</v>
      </c>
      <c r="T1120" s="372"/>
      <c r="U1120" s="1227"/>
      <c r="V1120" s="174">
        <f t="shared" si="144"/>
        <v>46.200000000000045</v>
      </c>
    </row>
    <row r="1121" spans="1:27" s="40" customFormat="1">
      <c r="A1121" s="1106" t="s">
        <v>94</v>
      </c>
      <c r="B1121" s="647"/>
      <c r="C1121" s="1352"/>
      <c r="D1121" s="2551"/>
      <c r="E1121" s="2552"/>
      <c r="F1121" s="2552"/>
      <c r="G1121" s="2552"/>
      <c r="H1121" s="2552"/>
      <c r="I1121" s="2553"/>
      <c r="J1121" s="2530"/>
      <c r="K1121" s="2531"/>
      <c r="L1121" s="2560"/>
      <c r="M1121" s="2561" t="s">
        <v>261</v>
      </c>
      <c r="N1121" s="2562"/>
      <c r="O1121" s="2562"/>
      <c r="P1121" s="2562"/>
      <c r="Q1121" s="2563"/>
      <c r="R1121" s="375">
        <f>R1119-R1120</f>
        <v>46.200000000000045</v>
      </c>
      <c r="S1121" s="376" t="str">
        <f>L1119</f>
        <v>m²</v>
      </c>
      <c r="T1121" s="2081"/>
      <c r="U1121" s="1355"/>
      <c r="V1121" s="174">
        <f>R1121</f>
        <v>46.200000000000045</v>
      </c>
    </row>
    <row r="1122" spans="1:27" s="40" customFormat="1" hidden="1">
      <c r="A1122" s="1106"/>
      <c r="B1122" s="2071"/>
      <c r="C1122" s="2072"/>
      <c r="D1122" s="2073"/>
      <c r="E1122" s="2074"/>
      <c r="F1122" s="2073"/>
      <c r="G1122" s="2073"/>
      <c r="H1122" s="2073"/>
      <c r="I1122" s="2073"/>
      <c r="J1122" s="2075"/>
      <c r="K1122" s="2076"/>
      <c r="L1122" s="2077"/>
      <c r="M1122" s="2078"/>
      <c r="N1122" s="2078"/>
      <c r="O1122" s="2078"/>
      <c r="P1122" s="2078"/>
      <c r="Q1122" s="2078"/>
      <c r="R1122" s="2079"/>
      <c r="S1122" s="2080"/>
      <c r="T1122" s="2081"/>
      <c r="U1122" s="1355"/>
      <c r="V1122" s="265" t="e">
        <f>SUM(V1108:V1121)</f>
        <v>#REF!</v>
      </c>
    </row>
    <row r="1123" spans="1:27" s="176" customFormat="1" hidden="1">
      <c r="A1123" s="1104"/>
      <c r="B1123" s="2463">
        <f>VLOOKUP(A1131,'11 - FINANCEIRA'!_xlnm.Print_Area,2,FALSE)</f>
        <v>42870</v>
      </c>
      <c r="C1123" s="2503" t="str">
        <f>VLOOKUP(A1131,'11 - FINANCEIRA'!_xlnm.Print_Area,3,FALSE)</f>
        <v>Demolição mecânica de concreto em Vias Urbanas</v>
      </c>
      <c r="D1123" s="2472" t="s">
        <v>242</v>
      </c>
      <c r="E1123" s="2473"/>
      <c r="F1123" s="2473"/>
      <c r="G1123" s="2473"/>
      <c r="H1123" s="2473"/>
      <c r="I1123" s="2474"/>
      <c r="J1123" s="2467" t="s">
        <v>373</v>
      </c>
      <c r="K1123" s="2467" t="s">
        <v>244</v>
      </c>
      <c r="L1123" s="2467" t="s">
        <v>245</v>
      </c>
      <c r="M1123" s="2467" t="s">
        <v>246</v>
      </c>
      <c r="N1123" s="2467" t="s">
        <v>247</v>
      </c>
      <c r="O1123" s="2467" t="s">
        <v>248</v>
      </c>
      <c r="P1123" s="173" t="s">
        <v>249</v>
      </c>
      <c r="Q1123" s="2467" t="s">
        <v>250</v>
      </c>
      <c r="R1123" s="2579" t="s">
        <v>139</v>
      </c>
      <c r="S1123" s="2467" t="s">
        <v>251</v>
      </c>
      <c r="T1123" s="2467" t="s">
        <v>252</v>
      </c>
      <c r="U1123" s="2584" t="s">
        <v>253</v>
      </c>
      <c r="V1123" s="174">
        <f t="shared" ref="V1123:V1130" si="155">V1124</f>
        <v>0</v>
      </c>
      <c r="W1123" s="175"/>
      <c r="X1123" s="175"/>
      <c r="Y1123" s="175"/>
      <c r="Z1123" s="175"/>
      <c r="AA1123" s="175"/>
    </row>
    <row r="1124" spans="1:27" s="176" customFormat="1" hidden="1">
      <c r="A1124" s="1104"/>
      <c r="B1124" s="2464" t="e">
        <f>LEFT(#REF!,5)</f>
        <v>#REF!</v>
      </c>
      <c r="C1124" s="2504" t="e">
        <f>VLOOKUP(LEFT(#REF!,5),'11 - FINANCEIRA'!_xlnm.Print_Area,2,FALSE)</f>
        <v>#REF!</v>
      </c>
      <c r="D1124" s="2475" t="s">
        <v>254</v>
      </c>
      <c r="E1124" s="2476"/>
      <c r="F1124" s="2477"/>
      <c r="G1124" s="2469" t="s">
        <v>255</v>
      </c>
      <c r="H1124" s="2470"/>
      <c r="I1124" s="2471"/>
      <c r="J1124" s="2468"/>
      <c r="K1124" s="2468"/>
      <c r="L1124" s="2468"/>
      <c r="M1124" s="2468"/>
      <c r="N1124" s="2468"/>
      <c r="O1124" s="2468"/>
      <c r="P1124" s="177" t="s">
        <v>256</v>
      </c>
      <c r="Q1124" s="2468"/>
      <c r="R1124" s="2580"/>
      <c r="S1124" s="2468"/>
      <c r="T1124" s="2468"/>
      <c r="U1124" s="2585"/>
      <c r="V1124" s="174">
        <f t="shared" si="155"/>
        <v>0</v>
      </c>
      <c r="W1124" s="175"/>
      <c r="X1124" s="175"/>
      <c r="Y1124" s="175"/>
      <c r="Z1124" s="175"/>
      <c r="AA1124" s="175"/>
    </row>
    <row r="1125" spans="1:27" s="176" customFormat="1" hidden="1">
      <c r="A1125" s="1104"/>
      <c r="B1125" s="178"/>
      <c r="C1125" s="307"/>
      <c r="D1125" s="267"/>
      <c r="E1125" s="268"/>
      <c r="F1125" s="269"/>
      <c r="G1125" s="270"/>
      <c r="H1125" s="271"/>
      <c r="I1125" s="272"/>
      <c r="J1125" s="273"/>
      <c r="K1125" s="273"/>
      <c r="L1125" s="273"/>
      <c r="M1125" s="273"/>
      <c r="N1125" s="273"/>
      <c r="O1125" s="273"/>
      <c r="P1125" s="274"/>
      <c r="Q1125" s="273"/>
      <c r="R1125" s="308"/>
      <c r="S1125" s="273"/>
      <c r="T1125" s="276"/>
      <c r="U1125" s="194"/>
      <c r="V1125" s="174">
        <f t="shared" si="155"/>
        <v>0</v>
      </c>
      <c r="W1125" s="175"/>
      <c r="X1125" s="175"/>
      <c r="Y1125" s="175"/>
      <c r="Z1125" s="175"/>
      <c r="AA1125" s="175"/>
    </row>
    <row r="1126" spans="1:27" s="176" customFormat="1" hidden="1">
      <c r="A1126" s="1104"/>
      <c r="B1126" s="195"/>
      <c r="C1126" s="277"/>
      <c r="D1126" s="278"/>
      <c r="E1126" s="279"/>
      <c r="F1126" s="280"/>
      <c r="G1126" s="281"/>
      <c r="H1126" s="282"/>
      <c r="I1126" s="283"/>
      <c r="J1126" s="284"/>
      <c r="K1126" s="278"/>
      <c r="L1126" s="284"/>
      <c r="M1126" s="280"/>
      <c r="N1126" s="279"/>
      <c r="O1126" s="278"/>
      <c r="P1126" s="285"/>
      <c r="Q1126" s="280"/>
      <c r="R1126" s="203"/>
      <c r="S1126" s="284"/>
      <c r="T1126" s="286"/>
      <c r="U1126" s="205"/>
      <c r="V1126" s="174">
        <f t="shared" si="155"/>
        <v>0</v>
      </c>
      <c r="W1126" s="175"/>
      <c r="X1126" s="175"/>
      <c r="Y1126" s="175"/>
      <c r="Z1126" s="175"/>
      <c r="AA1126" s="175"/>
    </row>
    <row r="1127" spans="1:27" s="222" customFormat="1" hidden="1">
      <c r="A1127" s="1105"/>
      <c r="B1127" s="206"/>
      <c r="C1127" s="287"/>
      <c r="D1127" s="288"/>
      <c r="E1127" s="289"/>
      <c r="F1127" s="290"/>
      <c r="G1127" s="288"/>
      <c r="H1127" s="289"/>
      <c r="I1127" s="290"/>
      <c r="J1127" s="201"/>
      <c r="K1127" s="291"/>
      <c r="L1127" s="291"/>
      <c r="M1127" s="291"/>
      <c r="N1127" s="291"/>
      <c r="O1127" s="292"/>
      <c r="P1127" s="291"/>
      <c r="Q1127" s="292"/>
      <c r="R1127" s="218"/>
      <c r="S1127" s="293"/>
      <c r="T1127" s="204"/>
      <c r="U1127" s="221"/>
      <c r="V1127" s="174">
        <f t="shared" si="155"/>
        <v>0</v>
      </c>
    </row>
    <row r="1128" spans="1:27" s="222" customFormat="1" hidden="1">
      <c r="A1128" s="1105"/>
      <c r="B1128" s="223"/>
      <c r="C1128" s="224"/>
      <c r="D1128" s="225"/>
      <c r="E1128" s="226"/>
      <c r="F1128" s="227"/>
      <c r="G1128" s="225"/>
      <c r="H1128" s="226"/>
      <c r="I1128" s="227"/>
      <c r="J1128" s="228"/>
      <c r="K1128" s="229"/>
      <c r="L1128" s="230"/>
      <c r="M1128" s="231"/>
      <c r="N1128" s="232"/>
      <c r="O1128" s="233"/>
      <c r="P1128" s="230"/>
      <c r="Q1128" s="234"/>
      <c r="R1128" s="235"/>
      <c r="S1128" s="236"/>
      <c r="T1128" s="294"/>
      <c r="U1128" s="238"/>
      <c r="V1128" s="174">
        <f t="shared" si="155"/>
        <v>0</v>
      </c>
    </row>
    <row r="1129" spans="1:27" s="40" customFormat="1" hidden="1">
      <c r="A1129" s="1106"/>
      <c r="B1129" s="246"/>
      <c r="C1129" s="240"/>
      <c r="D1129" s="2527" t="s">
        <v>257</v>
      </c>
      <c r="E1129" s="2528"/>
      <c r="F1129" s="2528"/>
      <c r="G1129" s="2528"/>
      <c r="H1129" s="2528"/>
      <c r="I1129" s="2529"/>
      <c r="J1129" s="2488">
        <f>VLOOKUP(A1131,'11 - FINANCEIRA'!_xlnm.Print_Area,30,FALSE)</f>
        <v>8.5500000000000007</v>
      </c>
      <c r="K1129" s="2489"/>
      <c r="L1129" s="309" t="str">
        <f>VLOOKUP(A1131,'11 - FINANCEIRA'!_xlnm.Print_Area,4,FALSE)</f>
        <v>m³</v>
      </c>
      <c r="M1129" s="2556" t="s">
        <v>258</v>
      </c>
      <c r="N1129" s="2557"/>
      <c r="O1129" s="2557"/>
      <c r="P1129" s="2557"/>
      <c r="Q1129" s="2558"/>
      <c r="R1129" s="248">
        <f>SUM(R1125:R1128)</f>
        <v>0</v>
      </c>
      <c r="S1129" s="310" t="str">
        <f>L1129</f>
        <v>m³</v>
      </c>
      <c r="T1129" s="244"/>
      <c r="U1129" s="245"/>
      <c r="V1129" s="174">
        <f t="shared" si="155"/>
        <v>0</v>
      </c>
    </row>
    <row r="1130" spans="1:27" s="40" customFormat="1" hidden="1">
      <c r="A1130" s="1106"/>
      <c r="B1130" s="246"/>
      <c r="C1130" s="247"/>
      <c r="D1130" s="2521" t="s">
        <v>259</v>
      </c>
      <c r="E1130" s="2522"/>
      <c r="F1130" s="2522"/>
      <c r="G1130" s="2522"/>
      <c r="H1130" s="2522"/>
      <c r="I1130" s="2523"/>
      <c r="J1130" s="2515">
        <f>R1129/J1129</f>
        <v>0</v>
      </c>
      <c r="K1130" s="2516"/>
      <c r="L1130" s="2554"/>
      <c r="M1130" s="2556" t="s">
        <v>260</v>
      </c>
      <c r="N1130" s="2557"/>
      <c r="O1130" s="2557"/>
      <c r="P1130" s="2557"/>
      <c r="Q1130" s="2558"/>
      <c r="R1130" s="248">
        <f>VLOOKUP(A1131,'11 - FINANCEIRA'!_xlnm.Print_Area,8,FALSE)</f>
        <v>0</v>
      </c>
      <c r="S1130" s="249" t="str">
        <f>L1129</f>
        <v>m³</v>
      </c>
      <c r="T1130" s="244"/>
      <c r="U1130" s="245"/>
      <c r="V1130" s="174">
        <f t="shared" si="155"/>
        <v>0</v>
      </c>
    </row>
    <row r="1131" spans="1:27" s="40" customFormat="1" hidden="1">
      <c r="A1131" s="1106" t="s">
        <v>95</v>
      </c>
      <c r="B1131" s="246"/>
      <c r="C1131" s="240"/>
      <c r="D1131" s="2524"/>
      <c r="E1131" s="2525"/>
      <c r="F1131" s="2525"/>
      <c r="G1131" s="2525"/>
      <c r="H1131" s="2525"/>
      <c r="I1131" s="2526"/>
      <c r="J1131" s="2519"/>
      <c r="K1131" s="2520"/>
      <c r="L1131" s="2570"/>
      <c r="M1131" s="2574" t="s">
        <v>261</v>
      </c>
      <c r="N1131" s="2575"/>
      <c r="O1131" s="2575"/>
      <c r="P1131" s="2575"/>
      <c r="Q1131" s="2576"/>
      <c r="R1131" s="251">
        <f>R1129-R1130</f>
        <v>0</v>
      </c>
      <c r="S1131" s="252" t="str">
        <f>L1129</f>
        <v>m³</v>
      </c>
      <c r="T1131" s="244"/>
      <c r="U1131" s="245"/>
      <c r="V1131" s="174">
        <f>R1131</f>
        <v>0</v>
      </c>
    </row>
    <row r="1132" spans="1:27" s="40" customFormat="1" hidden="1">
      <c r="A1132" s="1106"/>
      <c r="B1132" s="295"/>
      <c r="C1132" s="254"/>
      <c r="D1132" s="255"/>
      <c r="E1132" s="256"/>
      <c r="F1132" s="255"/>
      <c r="G1132" s="255"/>
      <c r="H1132" s="255"/>
      <c r="I1132" s="255"/>
      <c r="J1132" s="257"/>
      <c r="K1132" s="258"/>
      <c r="L1132" s="259"/>
      <c r="M1132" s="260"/>
      <c r="N1132" s="260"/>
      <c r="O1132" s="260"/>
      <c r="P1132" s="260"/>
      <c r="Q1132" s="260"/>
      <c r="R1132" s="261"/>
      <c r="S1132" s="262"/>
      <c r="T1132" s="263"/>
      <c r="U1132" s="264"/>
      <c r="V1132" s="265">
        <f>SUM(V1123:V1131)</f>
        <v>0</v>
      </c>
    </row>
    <row r="1133" spans="1:27" s="176" customFormat="1" hidden="1">
      <c r="A1133" s="1104"/>
      <c r="B1133" s="2463">
        <f>VLOOKUP(A1141,'11 - FINANCEIRA'!_xlnm.Print_Area,2,FALSE)</f>
        <v>60024</v>
      </c>
      <c r="C1133" s="2465" t="str">
        <f>VLOOKUP(A1141,'11 - FINANCEIRA'!_xlnm.Print_Area,3,FALSE)</f>
        <v>Transporte de materiais para DMT acima de 15 KM</v>
      </c>
      <c r="D1133" s="2472" t="s">
        <v>242</v>
      </c>
      <c r="E1133" s="2473"/>
      <c r="F1133" s="2473"/>
      <c r="G1133" s="2473"/>
      <c r="H1133" s="2473"/>
      <c r="I1133" s="2474"/>
      <c r="J1133" s="2467" t="s">
        <v>373</v>
      </c>
      <c r="K1133" s="2467" t="s">
        <v>244</v>
      </c>
      <c r="L1133" s="2467" t="s">
        <v>245</v>
      </c>
      <c r="M1133" s="2467" t="s">
        <v>246</v>
      </c>
      <c r="N1133" s="2467" t="s">
        <v>247</v>
      </c>
      <c r="O1133" s="2467" t="s">
        <v>248</v>
      </c>
      <c r="P1133" s="173" t="s">
        <v>249</v>
      </c>
      <c r="Q1133" s="2467" t="s">
        <v>250</v>
      </c>
      <c r="R1133" s="2579" t="s">
        <v>139</v>
      </c>
      <c r="S1133" s="2467" t="s">
        <v>251</v>
      </c>
      <c r="T1133" s="2467" t="s">
        <v>252</v>
      </c>
      <c r="U1133" s="2584" t="s">
        <v>253</v>
      </c>
      <c r="V1133" s="174">
        <f t="shared" ref="V1133:V1140" si="156">V1134</f>
        <v>0</v>
      </c>
      <c r="W1133" s="175"/>
      <c r="X1133" s="175"/>
      <c r="Y1133" s="175"/>
      <c r="Z1133" s="175"/>
      <c r="AA1133" s="175"/>
    </row>
    <row r="1134" spans="1:27" s="176" customFormat="1" hidden="1">
      <c r="A1134" s="1104"/>
      <c r="B1134" s="2464"/>
      <c r="C1134" s="2466"/>
      <c r="D1134" s="2475" t="s">
        <v>254</v>
      </c>
      <c r="E1134" s="2476"/>
      <c r="F1134" s="2477"/>
      <c r="G1134" s="2469" t="s">
        <v>255</v>
      </c>
      <c r="H1134" s="2470"/>
      <c r="I1134" s="2471"/>
      <c r="J1134" s="2468"/>
      <c r="K1134" s="2468"/>
      <c r="L1134" s="2468"/>
      <c r="M1134" s="2468"/>
      <c r="N1134" s="2468"/>
      <c r="O1134" s="2468"/>
      <c r="P1134" s="177" t="s">
        <v>256</v>
      </c>
      <c r="Q1134" s="2468"/>
      <c r="R1134" s="2580"/>
      <c r="S1134" s="2468"/>
      <c r="T1134" s="2468"/>
      <c r="U1134" s="2585"/>
      <c r="V1134" s="174">
        <f t="shared" si="156"/>
        <v>0</v>
      </c>
      <c r="W1134" s="175"/>
      <c r="X1134" s="175"/>
      <c r="Y1134" s="175"/>
      <c r="Z1134" s="175"/>
      <c r="AA1134" s="175"/>
    </row>
    <row r="1135" spans="1:27" s="176" customFormat="1" hidden="1">
      <c r="A1135" s="1104"/>
      <c r="B1135" s="178"/>
      <c r="C1135" s="307"/>
      <c r="D1135" s="267"/>
      <c r="E1135" s="268"/>
      <c r="F1135" s="269"/>
      <c r="G1135" s="270"/>
      <c r="H1135" s="271"/>
      <c r="I1135" s="272"/>
      <c r="J1135" s="273"/>
      <c r="K1135" s="273"/>
      <c r="L1135" s="273"/>
      <c r="M1135" s="273"/>
      <c r="N1135" s="273"/>
      <c r="O1135" s="273"/>
      <c r="P1135" s="274"/>
      <c r="Q1135" s="273"/>
      <c r="R1135" s="308"/>
      <c r="S1135" s="273"/>
      <c r="T1135" s="276"/>
      <c r="U1135" s="194"/>
      <c r="V1135" s="174">
        <f t="shared" si="156"/>
        <v>0</v>
      </c>
      <c r="W1135" s="175"/>
      <c r="X1135" s="175"/>
      <c r="Y1135" s="175"/>
      <c r="Z1135" s="175"/>
      <c r="AA1135" s="175"/>
    </row>
    <row r="1136" spans="1:27" s="176" customFormat="1" hidden="1">
      <c r="A1136" s="1104"/>
      <c r="B1136" s="195"/>
      <c r="C1136" s="277"/>
      <c r="D1136" s="278"/>
      <c r="E1136" s="279"/>
      <c r="F1136" s="280"/>
      <c r="G1136" s="281"/>
      <c r="H1136" s="282"/>
      <c r="I1136" s="283"/>
      <c r="J1136" s="284"/>
      <c r="K1136" s="278"/>
      <c r="L1136" s="284"/>
      <c r="M1136" s="280"/>
      <c r="N1136" s="279"/>
      <c r="O1136" s="278"/>
      <c r="P1136" s="285"/>
      <c r="Q1136" s="280"/>
      <c r="R1136" s="203"/>
      <c r="S1136" s="284"/>
      <c r="T1136" s="286"/>
      <c r="U1136" s="205"/>
      <c r="V1136" s="174">
        <f t="shared" si="156"/>
        <v>0</v>
      </c>
      <c r="W1136" s="175"/>
      <c r="X1136" s="175"/>
      <c r="Y1136" s="175"/>
      <c r="Z1136" s="175"/>
      <c r="AA1136" s="175"/>
    </row>
    <row r="1137" spans="1:27" s="222" customFormat="1" hidden="1">
      <c r="A1137" s="1105"/>
      <c r="B1137" s="206"/>
      <c r="C1137" s="287"/>
      <c r="D1137" s="288"/>
      <c r="E1137" s="289"/>
      <c r="F1137" s="290"/>
      <c r="G1137" s="288"/>
      <c r="H1137" s="289"/>
      <c r="I1137" s="290"/>
      <c r="J1137" s="201"/>
      <c r="K1137" s="291"/>
      <c r="L1137" s="291"/>
      <c r="M1137" s="291"/>
      <c r="N1137" s="291"/>
      <c r="O1137" s="292"/>
      <c r="P1137" s="291"/>
      <c r="Q1137" s="292"/>
      <c r="R1137" s="218"/>
      <c r="S1137" s="293"/>
      <c r="T1137" s="204"/>
      <c r="U1137" s="221"/>
      <c r="V1137" s="174">
        <f t="shared" si="156"/>
        <v>0</v>
      </c>
    </row>
    <row r="1138" spans="1:27" s="222" customFormat="1" hidden="1">
      <c r="A1138" s="1105"/>
      <c r="B1138" s="223"/>
      <c r="C1138" s="224"/>
      <c r="D1138" s="225"/>
      <c r="E1138" s="226"/>
      <c r="F1138" s="227"/>
      <c r="G1138" s="225"/>
      <c r="H1138" s="226"/>
      <c r="I1138" s="227"/>
      <c r="J1138" s="228"/>
      <c r="K1138" s="229"/>
      <c r="L1138" s="230"/>
      <c r="M1138" s="231"/>
      <c r="N1138" s="232"/>
      <c r="O1138" s="233"/>
      <c r="P1138" s="230"/>
      <c r="Q1138" s="234"/>
      <c r="R1138" s="235"/>
      <c r="S1138" s="236"/>
      <c r="T1138" s="294"/>
      <c r="U1138" s="238"/>
      <c r="V1138" s="174">
        <f t="shared" si="156"/>
        <v>0</v>
      </c>
    </row>
    <row r="1139" spans="1:27" s="40" customFormat="1" hidden="1">
      <c r="A1139" s="1106"/>
      <c r="B1139" s="246"/>
      <c r="C1139" s="240"/>
      <c r="D1139" s="2527" t="s">
        <v>257</v>
      </c>
      <c r="E1139" s="2528"/>
      <c r="F1139" s="2528"/>
      <c r="G1139" s="2528"/>
      <c r="H1139" s="2528"/>
      <c r="I1139" s="2529"/>
      <c r="J1139" s="2488">
        <f>VLOOKUP(A1141,'11 - FINANCEIRA'!_xlnm.Print_Area,30,FALSE)</f>
        <v>99.38</v>
      </c>
      <c r="K1139" s="2489"/>
      <c r="L1139" s="309" t="str">
        <f>VLOOKUP(A1141,'11 - FINANCEIRA'!_xlnm.Print_Area,4,FALSE)</f>
        <v>T</v>
      </c>
      <c r="M1139" s="2556" t="s">
        <v>258</v>
      </c>
      <c r="N1139" s="2557"/>
      <c r="O1139" s="2557"/>
      <c r="P1139" s="2557"/>
      <c r="Q1139" s="2558"/>
      <c r="R1139" s="248">
        <f>SUM(R1135:R1138)</f>
        <v>0</v>
      </c>
      <c r="S1139" s="310" t="str">
        <f>L1139</f>
        <v>T</v>
      </c>
      <c r="T1139" s="244"/>
      <c r="U1139" s="245"/>
      <c r="V1139" s="174">
        <f t="shared" si="156"/>
        <v>0</v>
      </c>
    </row>
    <row r="1140" spans="1:27" s="40" customFormat="1" hidden="1">
      <c r="A1140" s="1106"/>
      <c r="B1140" s="246"/>
      <c r="C1140" s="247"/>
      <c r="D1140" s="2521" t="s">
        <v>259</v>
      </c>
      <c r="E1140" s="2522"/>
      <c r="F1140" s="2522"/>
      <c r="G1140" s="2522"/>
      <c r="H1140" s="2522"/>
      <c r="I1140" s="2523"/>
      <c r="J1140" s="2515">
        <f>R1139/J1139</f>
        <v>0</v>
      </c>
      <c r="K1140" s="2516"/>
      <c r="L1140" s="2554"/>
      <c r="M1140" s="2556" t="s">
        <v>260</v>
      </c>
      <c r="N1140" s="2557"/>
      <c r="O1140" s="2557"/>
      <c r="P1140" s="2557"/>
      <c r="Q1140" s="2558"/>
      <c r="R1140" s="248">
        <f>VLOOKUP(A1141,'11 - FINANCEIRA'!_xlnm.Print_Area,8,FALSE)</f>
        <v>0</v>
      </c>
      <c r="S1140" s="249" t="str">
        <f>L1139</f>
        <v>T</v>
      </c>
      <c r="T1140" s="244"/>
      <c r="U1140" s="245"/>
      <c r="V1140" s="174">
        <f t="shared" si="156"/>
        <v>0</v>
      </c>
    </row>
    <row r="1141" spans="1:27" s="40" customFormat="1" hidden="1">
      <c r="A1141" s="1106" t="s">
        <v>96</v>
      </c>
      <c r="B1141" s="246"/>
      <c r="C1141" s="240"/>
      <c r="D1141" s="2524"/>
      <c r="E1141" s="2525"/>
      <c r="F1141" s="2525"/>
      <c r="G1141" s="2525"/>
      <c r="H1141" s="2525"/>
      <c r="I1141" s="2526"/>
      <c r="J1141" s="2519"/>
      <c r="K1141" s="2520"/>
      <c r="L1141" s="2570"/>
      <c r="M1141" s="2574" t="s">
        <v>261</v>
      </c>
      <c r="N1141" s="2575"/>
      <c r="O1141" s="2575"/>
      <c r="P1141" s="2575"/>
      <c r="Q1141" s="2576"/>
      <c r="R1141" s="251">
        <f>R1139-R1140</f>
        <v>0</v>
      </c>
      <c r="S1141" s="252" t="str">
        <f>L1139</f>
        <v>T</v>
      </c>
      <c r="T1141" s="244"/>
      <c r="U1141" s="245"/>
      <c r="V1141" s="174">
        <f>R1141</f>
        <v>0</v>
      </c>
    </row>
    <row r="1142" spans="1:27" s="40" customFormat="1" hidden="1">
      <c r="A1142" s="1106"/>
      <c r="B1142" s="2614"/>
      <c r="C1142" s="2615"/>
      <c r="D1142" s="2615"/>
      <c r="E1142" s="2615"/>
      <c r="F1142" s="2615"/>
      <c r="G1142" s="2615"/>
      <c r="H1142" s="2615"/>
      <c r="I1142" s="2615"/>
      <c r="J1142" s="2615"/>
      <c r="K1142" s="2615"/>
      <c r="L1142" s="2615"/>
      <c r="M1142" s="2615"/>
      <c r="N1142" s="2615"/>
      <c r="O1142" s="2615"/>
      <c r="P1142" s="2615"/>
      <c r="Q1142" s="2615"/>
      <c r="R1142" s="2615"/>
      <c r="S1142" s="2615"/>
      <c r="T1142" s="2615"/>
      <c r="U1142" s="2616"/>
      <c r="V1142" s="265">
        <f>SUM(V1133:V1141)</f>
        <v>0</v>
      </c>
    </row>
    <row r="1143" spans="1:27" s="176" customFormat="1" hidden="1">
      <c r="A1143" s="1106"/>
      <c r="B1143" s="2463">
        <f>VLOOKUP(A1151,'11 - FINANCEIRA'!_xlnm.Print_Area,2,FALSE)</f>
        <v>40867</v>
      </c>
      <c r="C1143" s="2503" t="str">
        <f>VLOOKUP(A1151,'11 - FINANCEIRA'!_xlnm.Print_Area,3,FALSE)</f>
        <v>Demolição e remoção de pavimento asfáltico</v>
      </c>
      <c r="D1143" s="2472" t="s">
        <v>242</v>
      </c>
      <c r="E1143" s="2473"/>
      <c r="F1143" s="2473"/>
      <c r="G1143" s="2473"/>
      <c r="H1143" s="2473"/>
      <c r="I1143" s="2474"/>
      <c r="J1143" s="2467" t="s">
        <v>373</v>
      </c>
      <c r="K1143" s="2467" t="s">
        <v>244</v>
      </c>
      <c r="L1143" s="2467" t="s">
        <v>245</v>
      </c>
      <c r="M1143" s="2467" t="s">
        <v>246</v>
      </c>
      <c r="N1143" s="2467" t="s">
        <v>247</v>
      </c>
      <c r="O1143" s="2467" t="s">
        <v>248</v>
      </c>
      <c r="P1143" s="173" t="s">
        <v>249</v>
      </c>
      <c r="Q1143" s="2467" t="s">
        <v>250</v>
      </c>
      <c r="R1143" s="2579" t="s">
        <v>139</v>
      </c>
      <c r="S1143" s="2467" t="s">
        <v>251</v>
      </c>
      <c r="T1143" s="2467" t="s">
        <v>252</v>
      </c>
      <c r="U1143" s="2584" t="s">
        <v>253</v>
      </c>
      <c r="V1143" s="174">
        <f t="shared" ref="V1143:V1150" si="157">V1144</f>
        <v>0</v>
      </c>
      <c r="W1143" s="175"/>
      <c r="X1143" s="175"/>
      <c r="Y1143" s="175"/>
      <c r="Z1143" s="175"/>
      <c r="AA1143" s="175"/>
    </row>
    <row r="1144" spans="1:27" s="176" customFormat="1" hidden="1">
      <c r="A1144" s="1106"/>
      <c r="B1144" s="2464"/>
      <c r="C1144" s="2504"/>
      <c r="D1144" s="2475" t="s">
        <v>254</v>
      </c>
      <c r="E1144" s="2476"/>
      <c r="F1144" s="2477"/>
      <c r="G1144" s="2469" t="s">
        <v>255</v>
      </c>
      <c r="H1144" s="2470"/>
      <c r="I1144" s="2471"/>
      <c r="J1144" s="2468"/>
      <c r="K1144" s="2468"/>
      <c r="L1144" s="2468"/>
      <c r="M1144" s="2468"/>
      <c r="N1144" s="2468"/>
      <c r="O1144" s="2468"/>
      <c r="P1144" s="177" t="s">
        <v>256</v>
      </c>
      <c r="Q1144" s="2468"/>
      <c r="R1144" s="2580"/>
      <c r="S1144" s="2468"/>
      <c r="T1144" s="2468"/>
      <c r="U1144" s="2585"/>
      <c r="V1144" s="174">
        <f t="shared" si="157"/>
        <v>0</v>
      </c>
      <c r="W1144" s="175"/>
      <c r="X1144" s="175"/>
      <c r="Y1144" s="175"/>
      <c r="Z1144" s="175"/>
      <c r="AA1144" s="175"/>
    </row>
    <row r="1145" spans="1:27" s="176" customFormat="1" hidden="1">
      <c r="A1145" s="1110"/>
      <c r="B1145" s="336"/>
      <c r="C1145" s="266" t="s">
        <v>382</v>
      </c>
      <c r="D1145" s="496">
        <v>9</v>
      </c>
      <c r="E1145" s="464" t="s">
        <v>299</v>
      </c>
      <c r="F1145" s="498">
        <v>0</v>
      </c>
      <c r="G1145" s="533">
        <v>11</v>
      </c>
      <c r="H1145" s="459" t="s">
        <v>299</v>
      </c>
      <c r="I1145" s="545">
        <v>10</v>
      </c>
      <c r="J1145" s="340"/>
      <c r="K1145" s="434">
        <f>(G1145-D1145)*20+I1145-F1145</f>
        <v>50</v>
      </c>
      <c r="L1145" s="340">
        <v>7</v>
      </c>
      <c r="M1145" s="340"/>
      <c r="N1145" s="340">
        <f>K1145*L1145</f>
        <v>350</v>
      </c>
      <c r="O1145" s="477">
        <f>O1023</f>
        <v>0</v>
      </c>
      <c r="P1145" s="461"/>
      <c r="Q1145" s="509"/>
      <c r="R1145" s="462">
        <f>N1145</f>
        <v>350</v>
      </c>
      <c r="S1145" s="340" t="s">
        <v>164</v>
      </c>
      <c r="T1145" s="347">
        <v>6</v>
      </c>
      <c r="U1145" s="492" t="s">
        <v>383</v>
      </c>
      <c r="V1145" s="306">
        <f t="shared" si="157"/>
        <v>0</v>
      </c>
      <c r="W1145" s="175"/>
      <c r="X1145" s="175"/>
      <c r="Y1145" s="175"/>
      <c r="Z1145" s="175"/>
      <c r="AA1145" s="175"/>
    </row>
    <row r="1146" spans="1:27" s="176" customFormat="1" hidden="1">
      <c r="A1146" s="1110"/>
      <c r="B1146" s="296"/>
      <c r="C1146" s="339" t="s">
        <v>382</v>
      </c>
      <c r="D1146" s="496">
        <v>11</v>
      </c>
      <c r="E1146" s="464" t="s">
        <v>299</v>
      </c>
      <c r="F1146" s="498">
        <v>10</v>
      </c>
      <c r="G1146" s="533">
        <v>14</v>
      </c>
      <c r="H1146" s="459" t="s">
        <v>299</v>
      </c>
      <c r="I1146" s="545">
        <v>14</v>
      </c>
      <c r="J1146" s="340"/>
      <c r="K1146" s="434">
        <f>(G1146-D1146)*20+I1146-F1146</f>
        <v>64</v>
      </c>
      <c r="L1146" s="340">
        <v>7</v>
      </c>
      <c r="M1146" s="340"/>
      <c r="N1146" s="340">
        <f>K1146*L1146</f>
        <v>448</v>
      </c>
      <c r="O1146" s="477">
        <f>O1024</f>
        <v>0</v>
      </c>
      <c r="P1146" s="461"/>
      <c r="Q1146" s="509"/>
      <c r="R1146" s="462">
        <f>N1146</f>
        <v>448</v>
      </c>
      <c r="S1146" s="340" t="s">
        <v>164</v>
      </c>
      <c r="T1146" s="347">
        <v>13</v>
      </c>
      <c r="U1146" s="492"/>
      <c r="V1146" s="306">
        <f t="shared" si="157"/>
        <v>0</v>
      </c>
      <c r="W1146" s="175"/>
      <c r="X1146" s="175"/>
      <c r="Y1146" s="175"/>
      <c r="Z1146" s="175"/>
      <c r="AA1146" s="175"/>
    </row>
    <row r="1147" spans="1:27" s="176" customFormat="1" hidden="1">
      <c r="A1147" s="1110"/>
      <c r="B1147" s="296"/>
      <c r="C1147" s="339" t="s">
        <v>382</v>
      </c>
      <c r="D1147" s="496">
        <v>14</v>
      </c>
      <c r="E1147" s="464" t="s">
        <v>299</v>
      </c>
      <c r="F1147" s="498">
        <v>14</v>
      </c>
      <c r="G1147" s="533">
        <v>19</v>
      </c>
      <c r="H1147" s="459" t="s">
        <v>299</v>
      </c>
      <c r="I1147" s="545">
        <v>2</v>
      </c>
      <c r="J1147" s="340"/>
      <c r="K1147" s="434">
        <f>(G1147-D1147)*20+I1147-F1147</f>
        <v>88</v>
      </c>
      <c r="L1147" s="340">
        <v>7</v>
      </c>
      <c r="M1147" s="340"/>
      <c r="N1147" s="340">
        <f>K1147*L1147</f>
        <v>616</v>
      </c>
      <c r="O1147" s="477"/>
      <c r="P1147" s="461"/>
      <c r="Q1147" s="509"/>
      <c r="R1147" s="462">
        <f>N1147</f>
        <v>616</v>
      </c>
      <c r="S1147" s="340" t="s">
        <v>164</v>
      </c>
      <c r="T1147" s="347">
        <v>14</v>
      </c>
      <c r="U1147" s="492"/>
      <c r="V1147" s="306">
        <f t="shared" si="157"/>
        <v>0</v>
      </c>
      <c r="W1147" s="175"/>
      <c r="X1147" s="175"/>
      <c r="Y1147" s="175"/>
      <c r="Z1147" s="175"/>
      <c r="AA1147" s="175"/>
    </row>
    <row r="1148" spans="1:27" s="222" customFormat="1" hidden="1">
      <c r="A1148" s="1106"/>
      <c r="B1148" s="223"/>
      <c r="C1148" s="224"/>
      <c r="D1148" s="225"/>
      <c r="E1148" s="226"/>
      <c r="F1148" s="227"/>
      <c r="G1148" s="225"/>
      <c r="H1148" s="226"/>
      <c r="I1148" s="227"/>
      <c r="J1148" s="228"/>
      <c r="K1148" s="229"/>
      <c r="L1148" s="230"/>
      <c r="M1148" s="231"/>
      <c r="N1148" s="232"/>
      <c r="O1148" s="233"/>
      <c r="P1148" s="230"/>
      <c r="Q1148" s="234"/>
      <c r="R1148" s="235"/>
      <c r="S1148" s="236"/>
      <c r="T1148" s="294"/>
      <c r="U1148" s="238"/>
      <c r="V1148" s="174">
        <f t="shared" si="157"/>
        <v>0</v>
      </c>
    </row>
    <row r="1149" spans="1:27" s="40" customFormat="1" hidden="1">
      <c r="A1149" s="1106"/>
      <c r="B1149" s="246"/>
      <c r="C1149" s="240"/>
      <c r="D1149" s="2527" t="s">
        <v>257</v>
      </c>
      <c r="E1149" s="2528"/>
      <c r="F1149" s="2528"/>
      <c r="G1149" s="2528"/>
      <c r="H1149" s="2528"/>
      <c r="I1149" s="2529"/>
      <c r="J1149" s="2488">
        <f>VLOOKUP(A1151,'11 - FINANCEIRA'!_xlnm.Print_Area,28,FALSE)</f>
        <v>1414</v>
      </c>
      <c r="K1149" s="2489"/>
      <c r="L1149" s="309" t="str">
        <f>VLOOKUP(A1151,'11 - FINANCEIRA'!_xlnm.Print_Area,4,FALSE)</f>
        <v>m²</v>
      </c>
      <c r="M1149" s="2556" t="s">
        <v>258</v>
      </c>
      <c r="N1149" s="2557"/>
      <c r="O1149" s="2557"/>
      <c r="P1149" s="2557"/>
      <c r="Q1149" s="2558"/>
      <c r="R1149" s="248">
        <f>SUM(R1145:R1148)</f>
        <v>1414</v>
      </c>
      <c r="S1149" s="310" t="str">
        <f>L1149</f>
        <v>m²</v>
      </c>
      <c r="T1149" s="244"/>
      <c r="U1149" s="245"/>
      <c r="V1149" s="174">
        <f t="shared" si="157"/>
        <v>0</v>
      </c>
    </row>
    <row r="1150" spans="1:27" s="40" customFormat="1" hidden="1">
      <c r="A1150" s="1106"/>
      <c r="B1150" s="246"/>
      <c r="C1150" s="247"/>
      <c r="D1150" s="2521" t="s">
        <v>259</v>
      </c>
      <c r="E1150" s="2522"/>
      <c r="F1150" s="2522"/>
      <c r="G1150" s="2522"/>
      <c r="H1150" s="2522"/>
      <c r="I1150" s="2523"/>
      <c r="J1150" s="2515">
        <f>R1149/J1149</f>
        <v>1</v>
      </c>
      <c r="K1150" s="2516"/>
      <c r="L1150" s="2554"/>
      <c r="M1150" s="2556" t="s">
        <v>260</v>
      </c>
      <c r="N1150" s="2557"/>
      <c r="O1150" s="2557"/>
      <c r="P1150" s="2557"/>
      <c r="Q1150" s="2558"/>
      <c r="R1150" s="248">
        <f>VLOOKUP(A1151,'11 - FINANCEIRA'!_xlnm.Print_Area,8,FALSE)</f>
        <v>1414</v>
      </c>
      <c r="S1150" s="249" t="str">
        <f>L1149</f>
        <v>m²</v>
      </c>
      <c r="T1150" s="244"/>
      <c r="U1150" s="245"/>
      <c r="V1150" s="174">
        <f t="shared" si="157"/>
        <v>0</v>
      </c>
    </row>
    <row r="1151" spans="1:27" s="40" customFormat="1" hidden="1">
      <c r="A1151" s="1106" t="s">
        <v>97</v>
      </c>
      <c r="B1151" s="246"/>
      <c r="C1151" s="240"/>
      <c r="D1151" s="2539"/>
      <c r="E1151" s="2540"/>
      <c r="F1151" s="2540"/>
      <c r="G1151" s="2540"/>
      <c r="H1151" s="2540"/>
      <c r="I1151" s="2541"/>
      <c r="J1151" s="2517"/>
      <c r="K1151" s="2518"/>
      <c r="L1151" s="2555"/>
      <c r="M1151" s="2556" t="s">
        <v>261</v>
      </c>
      <c r="N1151" s="2557"/>
      <c r="O1151" s="2557"/>
      <c r="P1151" s="2557"/>
      <c r="Q1151" s="2558"/>
      <c r="R1151" s="251">
        <f>R1149-R1150</f>
        <v>0</v>
      </c>
      <c r="S1151" s="252" t="str">
        <f>L1149</f>
        <v>m²</v>
      </c>
      <c r="T1151" s="244"/>
      <c r="U1151" s="245"/>
      <c r="V1151" s="174">
        <f>R1151</f>
        <v>0</v>
      </c>
    </row>
    <row r="1152" spans="1:27" s="40" customFormat="1" hidden="1">
      <c r="A1152" s="1106"/>
      <c r="B1152" s="295"/>
      <c r="C1152" s="254"/>
      <c r="D1152" s="255"/>
      <c r="E1152" s="256"/>
      <c r="F1152" s="255"/>
      <c r="G1152" s="255"/>
      <c r="H1152" s="255"/>
      <c r="I1152" s="255"/>
      <c r="J1152" s="257"/>
      <c r="K1152" s="258"/>
      <c r="L1152" s="259"/>
      <c r="M1152" s="260"/>
      <c r="N1152" s="260"/>
      <c r="O1152" s="260"/>
      <c r="P1152" s="260"/>
      <c r="Q1152" s="260"/>
      <c r="R1152" s="261"/>
      <c r="S1152" s="262"/>
      <c r="T1152" s="263"/>
      <c r="U1152" s="264"/>
      <c r="V1152" s="265">
        <f>SUM(V1143:V1151)</f>
        <v>0</v>
      </c>
    </row>
    <row r="1153" spans="1:27" s="176" customFormat="1" hidden="1">
      <c r="A1153" s="1104"/>
      <c r="B1153" s="2463" t="str">
        <f>VLOOKUP(A1161,'11 - FINANCEIRA'!_xlnm.Print_Area,2,FALSE)</f>
        <v>7550-83397</v>
      </c>
      <c r="C1153" s="2503" t="str">
        <f>VLOOKUP(A1161,'11 - FINANCEIRA'!_xlnm.Print_Area,3,FALSE)</f>
        <v xml:space="preserve">Poste de concreto duplo h=9m carga nominal 500k, inclusive escavação, exclusive trasnporte- fornecimento e instalação </v>
      </c>
      <c r="D1153" s="2472" t="s">
        <v>242</v>
      </c>
      <c r="E1153" s="2473"/>
      <c r="F1153" s="2473"/>
      <c r="G1153" s="2473"/>
      <c r="H1153" s="2473"/>
      <c r="I1153" s="2474"/>
      <c r="J1153" s="2467" t="s">
        <v>373</v>
      </c>
      <c r="K1153" s="2467" t="s">
        <v>244</v>
      </c>
      <c r="L1153" s="2467" t="s">
        <v>245</v>
      </c>
      <c r="M1153" s="2467" t="s">
        <v>246</v>
      </c>
      <c r="N1153" s="2467" t="s">
        <v>247</v>
      </c>
      <c r="O1153" s="2467" t="s">
        <v>248</v>
      </c>
      <c r="P1153" s="173" t="s">
        <v>249</v>
      </c>
      <c r="Q1153" s="2467" t="s">
        <v>250</v>
      </c>
      <c r="R1153" s="2579" t="s">
        <v>139</v>
      </c>
      <c r="S1153" s="2467" t="s">
        <v>251</v>
      </c>
      <c r="T1153" s="2467" t="s">
        <v>252</v>
      </c>
      <c r="U1153" s="2584" t="s">
        <v>253</v>
      </c>
      <c r="V1153" s="174">
        <f t="shared" ref="V1153:V1160" si="158">V1154</f>
        <v>0</v>
      </c>
      <c r="W1153" s="175"/>
      <c r="X1153" s="175"/>
      <c r="Y1153" s="175"/>
      <c r="Z1153" s="175"/>
      <c r="AA1153" s="175"/>
    </row>
    <row r="1154" spans="1:27" s="176" customFormat="1" hidden="1">
      <c r="A1154" s="1104"/>
      <c r="B1154" s="2464" t="e">
        <f>LEFT(#REF!,5)</f>
        <v>#REF!</v>
      </c>
      <c r="C1154" s="2504" t="e">
        <f>VLOOKUP(LEFT(#REF!,5),'11 - FINANCEIRA'!_xlnm.Print_Area,2,FALSE)</f>
        <v>#REF!</v>
      </c>
      <c r="D1154" s="2475" t="s">
        <v>254</v>
      </c>
      <c r="E1154" s="2476"/>
      <c r="F1154" s="2477"/>
      <c r="G1154" s="2469" t="s">
        <v>255</v>
      </c>
      <c r="H1154" s="2470"/>
      <c r="I1154" s="2471"/>
      <c r="J1154" s="2468"/>
      <c r="K1154" s="2468"/>
      <c r="L1154" s="2468"/>
      <c r="M1154" s="2468"/>
      <c r="N1154" s="2468"/>
      <c r="O1154" s="2468"/>
      <c r="P1154" s="177" t="s">
        <v>256</v>
      </c>
      <c r="Q1154" s="2468"/>
      <c r="R1154" s="2580"/>
      <c r="S1154" s="2468"/>
      <c r="T1154" s="2468"/>
      <c r="U1154" s="2585"/>
      <c r="V1154" s="174">
        <f t="shared" si="158"/>
        <v>0</v>
      </c>
      <c r="W1154" s="175"/>
      <c r="X1154" s="175"/>
      <c r="Y1154" s="175"/>
      <c r="Z1154" s="175"/>
      <c r="AA1154" s="175"/>
    </row>
    <row r="1155" spans="1:27" s="176" customFormat="1" hidden="1">
      <c r="A1155" s="1104"/>
      <c r="B1155" s="178"/>
      <c r="C1155" s="307"/>
      <c r="D1155" s="267"/>
      <c r="E1155" s="268"/>
      <c r="F1155" s="269"/>
      <c r="G1155" s="270"/>
      <c r="H1155" s="271"/>
      <c r="I1155" s="272"/>
      <c r="J1155" s="273"/>
      <c r="K1155" s="273"/>
      <c r="L1155" s="273"/>
      <c r="M1155" s="273"/>
      <c r="N1155" s="273"/>
      <c r="O1155" s="273"/>
      <c r="P1155" s="274"/>
      <c r="Q1155" s="273"/>
      <c r="R1155" s="308"/>
      <c r="S1155" s="273"/>
      <c r="T1155" s="276"/>
      <c r="U1155" s="194"/>
      <c r="V1155" s="174">
        <f t="shared" si="158"/>
        <v>0</v>
      </c>
      <c r="W1155" s="175"/>
      <c r="X1155" s="175"/>
      <c r="Y1155" s="175"/>
      <c r="Z1155" s="175"/>
      <c r="AA1155" s="175"/>
    </row>
    <row r="1156" spans="1:27" s="176" customFormat="1" hidden="1">
      <c r="A1156" s="1104"/>
      <c r="B1156" s="195"/>
      <c r="C1156" s="277"/>
      <c r="D1156" s="278"/>
      <c r="E1156" s="279"/>
      <c r="F1156" s="280"/>
      <c r="G1156" s="281"/>
      <c r="H1156" s="282"/>
      <c r="I1156" s="283"/>
      <c r="J1156" s="284"/>
      <c r="K1156" s="278"/>
      <c r="L1156" s="284"/>
      <c r="M1156" s="280"/>
      <c r="N1156" s="279"/>
      <c r="O1156" s="278"/>
      <c r="P1156" s="285"/>
      <c r="Q1156" s="280"/>
      <c r="R1156" s="203"/>
      <c r="S1156" s="284"/>
      <c r="T1156" s="286"/>
      <c r="U1156" s="205"/>
      <c r="V1156" s="174">
        <f t="shared" si="158"/>
        <v>0</v>
      </c>
      <c r="W1156" s="175"/>
      <c r="X1156" s="175"/>
      <c r="Y1156" s="175"/>
      <c r="Z1156" s="175"/>
      <c r="AA1156" s="175"/>
    </row>
    <row r="1157" spans="1:27" s="222" customFormat="1" hidden="1">
      <c r="A1157" s="1105"/>
      <c r="B1157" s="206"/>
      <c r="C1157" s="287"/>
      <c r="D1157" s="288"/>
      <c r="E1157" s="289"/>
      <c r="F1157" s="290"/>
      <c r="G1157" s="288"/>
      <c r="H1157" s="289"/>
      <c r="I1157" s="290"/>
      <c r="J1157" s="201"/>
      <c r="K1157" s="291"/>
      <c r="L1157" s="291"/>
      <c r="M1157" s="291"/>
      <c r="N1157" s="291"/>
      <c r="O1157" s="292"/>
      <c r="P1157" s="291"/>
      <c r="Q1157" s="292"/>
      <c r="R1157" s="218"/>
      <c r="S1157" s="293"/>
      <c r="T1157" s="204"/>
      <c r="U1157" s="221"/>
      <c r="V1157" s="174">
        <f t="shared" si="158"/>
        <v>0</v>
      </c>
    </row>
    <row r="1158" spans="1:27" s="222" customFormat="1" hidden="1">
      <c r="A1158" s="1105"/>
      <c r="B1158" s="223"/>
      <c r="C1158" s="224"/>
      <c r="D1158" s="225"/>
      <c r="E1158" s="226"/>
      <c r="F1158" s="227"/>
      <c r="G1158" s="225"/>
      <c r="H1158" s="226"/>
      <c r="I1158" s="227"/>
      <c r="J1158" s="228"/>
      <c r="K1158" s="229"/>
      <c r="L1158" s="230"/>
      <c r="M1158" s="231"/>
      <c r="N1158" s="232"/>
      <c r="O1158" s="233"/>
      <c r="P1158" s="230"/>
      <c r="Q1158" s="234"/>
      <c r="R1158" s="235"/>
      <c r="S1158" s="236"/>
      <c r="T1158" s="294"/>
      <c r="U1158" s="238"/>
      <c r="V1158" s="174">
        <f t="shared" si="158"/>
        <v>0</v>
      </c>
    </row>
    <row r="1159" spans="1:27" s="40" customFormat="1" hidden="1">
      <c r="A1159" s="1106"/>
      <c r="B1159" s="246"/>
      <c r="C1159" s="240"/>
      <c r="D1159" s="2527" t="s">
        <v>257</v>
      </c>
      <c r="E1159" s="2528"/>
      <c r="F1159" s="2528"/>
      <c r="G1159" s="2528"/>
      <c r="H1159" s="2528"/>
      <c r="I1159" s="2529"/>
      <c r="J1159" s="2488">
        <f>'11 - FINANCEIRA'!F105</f>
        <v>1</v>
      </c>
      <c r="K1159" s="2489"/>
      <c r="L1159" s="309" t="str">
        <f>VLOOKUP(A1161,'11 - FINANCEIRA'!_xlnm.Print_Area,4,FALSE)</f>
        <v>un</v>
      </c>
      <c r="M1159" s="2556" t="s">
        <v>258</v>
      </c>
      <c r="N1159" s="2557"/>
      <c r="O1159" s="2557"/>
      <c r="P1159" s="2557"/>
      <c r="Q1159" s="2558"/>
      <c r="R1159" s="248">
        <f>SUM(R1155:R1158)</f>
        <v>0</v>
      </c>
      <c r="S1159" s="310" t="str">
        <f>L1159</f>
        <v>un</v>
      </c>
      <c r="T1159" s="244"/>
      <c r="U1159" s="245"/>
      <c r="V1159" s="174">
        <f t="shared" si="158"/>
        <v>0</v>
      </c>
    </row>
    <row r="1160" spans="1:27" s="40" customFormat="1" hidden="1">
      <c r="A1160" s="1106"/>
      <c r="B1160" s="246"/>
      <c r="C1160" s="247"/>
      <c r="D1160" s="2521" t="s">
        <v>259</v>
      </c>
      <c r="E1160" s="2522"/>
      <c r="F1160" s="2522"/>
      <c r="G1160" s="2522"/>
      <c r="H1160" s="2522"/>
      <c r="I1160" s="2523"/>
      <c r="J1160" s="2515">
        <f>R1159/J1159</f>
        <v>0</v>
      </c>
      <c r="K1160" s="2516"/>
      <c r="L1160" s="2554"/>
      <c r="M1160" s="2556" t="s">
        <v>260</v>
      </c>
      <c r="N1160" s="2557"/>
      <c r="O1160" s="2557"/>
      <c r="P1160" s="2557"/>
      <c r="Q1160" s="2558"/>
      <c r="R1160" s="248">
        <f>VLOOKUP(A1161,'11 - FINANCEIRA'!_xlnm.Print_Area,8,FALSE)</f>
        <v>0</v>
      </c>
      <c r="S1160" s="249" t="str">
        <f>L1159</f>
        <v>un</v>
      </c>
      <c r="T1160" s="244"/>
      <c r="U1160" s="245"/>
      <c r="V1160" s="174">
        <f t="shared" si="158"/>
        <v>0</v>
      </c>
    </row>
    <row r="1161" spans="1:27" s="40" customFormat="1" hidden="1">
      <c r="A1161" s="1106" t="s">
        <v>98</v>
      </c>
      <c r="B1161" s="246"/>
      <c r="C1161" s="240"/>
      <c r="D1161" s="2524"/>
      <c r="E1161" s="2525"/>
      <c r="F1161" s="2525"/>
      <c r="G1161" s="2525"/>
      <c r="H1161" s="2525"/>
      <c r="I1161" s="2526"/>
      <c r="J1161" s="2519"/>
      <c r="K1161" s="2520"/>
      <c r="L1161" s="2570"/>
      <c r="M1161" s="2574" t="s">
        <v>261</v>
      </c>
      <c r="N1161" s="2575"/>
      <c r="O1161" s="2575"/>
      <c r="P1161" s="2575"/>
      <c r="Q1161" s="2576"/>
      <c r="R1161" s="251">
        <f>R1159-R1160</f>
        <v>0</v>
      </c>
      <c r="S1161" s="252" t="str">
        <f>L1159</f>
        <v>un</v>
      </c>
      <c r="T1161" s="244"/>
      <c r="U1161" s="245"/>
      <c r="V1161" s="174">
        <f>R1161</f>
        <v>0</v>
      </c>
    </row>
    <row r="1162" spans="1:27" s="40" customFormat="1" hidden="1">
      <c r="A1162" s="1106"/>
      <c r="B1162" s="311"/>
      <c r="C1162" s="312"/>
      <c r="D1162" s="313"/>
      <c r="E1162" s="314"/>
      <c r="F1162" s="313"/>
      <c r="G1162" s="313"/>
      <c r="H1162" s="313"/>
      <c r="I1162" s="313"/>
      <c r="J1162" s="315"/>
      <c r="K1162" s="316"/>
      <c r="L1162" s="317"/>
      <c r="M1162" s="318"/>
      <c r="N1162" s="318"/>
      <c r="O1162" s="318"/>
      <c r="P1162" s="318"/>
      <c r="Q1162" s="318"/>
      <c r="R1162" s="319"/>
      <c r="S1162" s="320"/>
      <c r="T1162" s="321"/>
      <c r="U1162" s="322"/>
      <c r="V1162" s="265">
        <f>SUM(V1153:V1161)</f>
        <v>0</v>
      </c>
    </row>
    <row r="1163" spans="1:27" s="326" customFormat="1">
      <c r="A1163" s="1770"/>
      <c r="B1163" s="574" t="str">
        <f>VLOOKUP(A1173,'11 - FINANCEIRA'!_xlnm.Print_Area,1,FALSE)</f>
        <v>3.5</v>
      </c>
      <c r="C1163" s="607" t="str">
        <f>VLOOKUP(LEFT(A1173,9),'11 - FINANCEIRA'!_xlnm.Print_Area,2,FALSE)</f>
        <v>Estrutura</v>
      </c>
      <c r="D1163" s="575"/>
      <c r="E1163" s="576"/>
      <c r="F1163" s="575"/>
      <c r="G1163" s="577"/>
      <c r="H1163" s="578"/>
      <c r="I1163" s="578"/>
      <c r="J1163" s="578"/>
      <c r="K1163" s="578"/>
      <c r="L1163" s="578"/>
      <c r="M1163" s="2225"/>
      <c r="N1163" s="2226"/>
      <c r="O1163" s="2225"/>
      <c r="P1163" s="2225"/>
      <c r="Q1163" s="2225"/>
      <c r="R1163" s="2225"/>
      <c r="S1163" s="2225"/>
      <c r="T1163" s="2225"/>
      <c r="U1163" s="2227"/>
      <c r="V1163" s="511" t="e">
        <f ca="1">SUM(V1164:V1412)</f>
        <v>#REF!</v>
      </c>
    </row>
    <row r="1164" spans="1:27" s="176" customFormat="1" ht="28.5" hidden="1" customHeight="1">
      <c r="A1164" s="1106"/>
      <c r="B1164" s="2609">
        <f>VLOOKUP(A1174,'11 - FINANCEIRA'!_xlnm.Print_Area,2,FALSE)</f>
        <v>6817851</v>
      </c>
      <c r="C1164" s="2610" t="str">
        <f>VLOOKUP(A1174,'11 - FINANCEIRA'!_xlnm.Print_Area,3,FALSE)</f>
        <v>Fornecimento e assentamento de galeria de concreto pré-moldado 3 X 2 metros fechada (tampa fixa)</v>
      </c>
      <c r="D1164" s="2611" t="s">
        <v>242</v>
      </c>
      <c r="E1164" s="2612"/>
      <c r="F1164" s="2612"/>
      <c r="G1164" s="2612"/>
      <c r="H1164" s="2612"/>
      <c r="I1164" s="2613"/>
      <c r="J1164" s="2604" t="s">
        <v>373</v>
      </c>
      <c r="K1164" s="2604" t="s">
        <v>244</v>
      </c>
      <c r="L1164" s="2604" t="s">
        <v>245</v>
      </c>
      <c r="M1164" s="2604" t="s">
        <v>246</v>
      </c>
      <c r="N1164" s="2604" t="s">
        <v>247</v>
      </c>
      <c r="O1164" s="2604" t="s">
        <v>248</v>
      </c>
      <c r="P1164" s="2107" t="s">
        <v>249</v>
      </c>
      <c r="Q1164" s="2604" t="s">
        <v>250</v>
      </c>
      <c r="R1164" s="2606" t="s">
        <v>139</v>
      </c>
      <c r="S1164" s="2604" t="s">
        <v>251</v>
      </c>
      <c r="T1164" s="2604" t="s">
        <v>252</v>
      </c>
      <c r="U1164" s="2605" t="s">
        <v>253</v>
      </c>
      <c r="V1164" s="174">
        <f t="shared" ref="V1164:V1185" si="159">V1165</f>
        <v>0</v>
      </c>
      <c r="W1164" s="175"/>
      <c r="X1164" s="175"/>
      <c r="Y1164" s="175"/>
      <c r="Z1164" s="175"/>
      <c r="AA1164" s="175"/>
    </row>
    <row r="1165" spans="1:27" s="176" customFormat="1" hidden="1">
      <c r="A1165" s="1106"/>
      <c r="B1165" s="2495"/>
      <c r="C1165" s="2499"/>
      <c r="D1165" s="2588" t="s">
        <v>254</v>
      </c>
      <c r="E1165" s="2589"/>
      <c r="F1165" s="2590"/>
      <c r="G1165" s="2591" t="s">
        <v>255</v>
      </c>
      <c r="H1165" s="2592"/>
      <c r="I1165" s="2593"/>
      <c r="J1165" s="2497"/>
      <c r="K1165" s="2497"/>
      <c r="L1165" s="2497"/>
      <c r="M1165" s="2497"/>
      <c r="N1165" s="2497"/>
      <c r="O1165" s="2497"/>
      <c r="P1165" s="410" t="s">
        <v>256</v>
      </c>
      <c r="Q1165" s="2497"/>
      <c r="R1165" s="2578"/>
      <c r="S1165" s="2497"/>
      <c r="T1165" s="2497"/>
      <c r="U1165" s="2587"/>
      <c r="V1165" s="174">
        <f t="shared" si="159"/>
        <v>0</v>
      </c>
      <c r="W1165" s="175"/>
      <c r="X1165" s="175"/>
      <c r="Y1165" s="175"/>
      <c r="Z1165" s="175"/>
      <c r="AA1165" s="175"/>
    </row>
    <row r="1166" spans="1:27" s="176" customFormat="1" hidden="1">
      <c r="A1166" s="1110"/>
      <c r="B1166" s="609"/>
      <c r="C1166" s="522" t="s">
        <v>384</v>
      </c>
      <c r="D1166" s="443">
        <f>D1107</f>
        <v>0</v>
      </c>
      <c r="E1166" s="612" t="s">
        <v>299</v>
      </c>
      <c r="F1166" s="445">
        <v>14.04</v>
      </c>
      <c r="G1166" s="443">
        <v>11</v>
      </c>
      <c r="H1166" s="612" t="s">
        <v>299</v>
      </c>
      <c r="I1166" s="445">
        <v>10</v>
      </c>
      <c r="J1166" s="445"/>
      <c r="K1166" s="555">
        <f>SUM(G1166*20+I1166)-(D1166*20+F1166)</f>
        <v>215.96</v>
      </c>
      <c r="L1166" s="411"/>
      <c r="M1166" s="411"/>
      <c r="N1166" s="411"/>
      <c r="O1166" s="411"/>
      <c r="P1166" s="449"/>
      <c r="Q1166" s="411"/>
      <c r="R1166" s="450">
        <f>K1166</f>
        <v>215.96</v>
      </c>
      <c r="S1166" s="411" t="s">
        <v>39</v>
      </c>
      <c r="T1166" s="451">
        <v>6</v>
      </c>
      <c r="U1166" s="335"/>
      <c r="V1166" s="306">
        <f>V1168</f>
        <v>0</v>
      </c>
      <c r="W1166" s="175"/>
      <c r="X1166" s="175"/>
      <c r="Y1166" s="175"/>
      <c r="Z1166" s="175"/>
      <c r="AA1166" s="175"/>
    </row>
    <row r="1167" spans="1:27" s="176" customFormat="1" hidden="1">
      <c r="A1167" s="1110"/>
      <c r="B1167" s="296"/>
      <c r="C1167" s="495" t="s">
        <v>384</v>
      </c>
      <c r="D1167" s="496">
        <v>11</v>
      </c>
      <c r="E1167" s="606" t="s">
        <v>299</v>
      </c>
      <c r="F1167" s="498">
        <v>10</v>
      </c>
      <c r="G1167" s="496">
        <v>14</v>
      </c>
      <c r="H1167" s="606" t="s">
        <v>299</v>
      </c>
      <c r="I1167" s="498">
        <v>14</v>
      </c>
      <c r="J1167" s="498"/>
      <c r="K1167" s="434">
        <f>SUM(G1167*20+I1167)-(D1167*20+F1167)</f>
        <v>64</v>
      </c>
      <c r="L1167" s="340"/>
      <c r="M1167" s="340"/>
      <c r="N1167" s="340"/>
      <c r="O1167" s="340"/>
      <c r="P1167" s="461"/>
      <c r="Q1167" s="340"/>
      <c r="R1167" s="462">
        <f>K1167</f>
        <v>64</v>
      </c>
      <c r="S1167" s="340" t="s">
        <v>39</v>
      </c>
      <c r="T1167" s="347">
        <v>13</v>
      </c>
      <c r="U1167" s="341"/>
      <c r="V1167" s="306">
        <f>V1171</f>
        <v>0</v>
      </c>
      <c r="W1167" s="175"/>
      <c r="X1167" s="175"/>
      <c r="Y1167" s="175"/>
      <c r="Z1167" s="175"/>
      <c r="AA1167" s="175"/>
    </row>
    <row r="1168" spans="1:27" s="176" customFormat="1" hidden="1">
      <c r="A1168" s="1110"/>
      <c r="B1168" s="296"/>
      <c r="C1168" s="495" t="s">
        <v>384</v>
      </c>
      <c r="D1168" s="496">
        <v>14</v>
      </c>
      <c r="E1168" s="606" t="s">
        <v>299</v>
      </c>
      <c r="F1168" s="498">
        <v>14</v>
      </c>
      <c r="G1168" s="496">
        <v>19</v>
      </c>
      <c r="H1168" s="606" t="s">
        <v>299</v>
      </c>
      <c r="I1168" s="498">
        <v>2</v>
      </c>
      <c r="J1168" s="498"/>
      <c r="K1168" s="434">
        <f>SUM(G1168*20+I1168)-(D1168*20+F1168)</f>
        <v>88</v>
      </c>
      <c r="L1168" s="340"/>
      <c r="M1168" s="340"/>
      <c r="N1168" s="340"/>
      <c r="O1168" s="340"/>
      <c r="P1168" s="461"/>
      <c r="Q1168" s="340"/>
      <c r="R1168" s="462">
        <f>K1168-R1193</f>
        <v>84</v>
      </c>
      <c r="S1168" s="340" t="s">
        <v>39</v>
      </c>
      <c r="T1168" s="347">
        <v>14</v>
      </c>
      <c r="U1168" s="341"/>
      <c r="V1168" s="306">
        <f>V1172</f>
        <v>0</v>
      </c>
      <c r="W1168" s="175"/>
      <c r="X1168" s="175"/>
      <c r="Y1168" s="175"/>
      <c r="Z1168" s="175"/>
      <c r="AA1168" s="175"/>
    </row>
    <row r="1169" spans="1:27" s="176" customFormat="1" hidden="1">
      <c r="A1169" s="1110"/>
      <c r="B1169" s="296"/>
      <c r="C1169" s="495" t="s">
        <v>384</v>
      </c>
      <c r="D1169" s="496">
        <v>19</v>
      </c>
      <c r="E1169" s="606" t="s">
        <v>299</v>
      </c>
      <c r="F1169" s="498">
        <v>2</v>
      </c>
      <c r="G1169" s="496">
        <v>21</v>
      </c>
      <c r="H1169" s="606" t="s">
        <v>299</v>
      </c>
      <c r="I1169" s="498">
        <v>9</v>
      </c>
      <c r="J1169" s="498"/>
      <c r="K1169" s="434">
        <f>SUM(G1169*20+I1169)-(D1169*20+F1169)</f>
        <v>47</v>
      </c>
      <c r="L1169" s="340"/>
      <c r="M1169" s="340"/>
      <c r="N1169" s="340"/>
      <c r="O1169" s="340"/>
      <c r="P1169" s="461"/>
      <c r="Q1169" s="340"/>
      <c r="R1169" s="462">
        <f>K1169-R1194</f>
        <v>45</v>
      </c>
      <c r="S1169" s="340" t="s">
        <v>39</v>
      </c>
      <c r="T1169" s="347">
        <v>15</v>
      </c>
      <c r="U1169" s="341"/>
      <c r="V1169" s="306">
        <f>V1173</f>
        <v>0</v>
      </c>
      <c r="W1169" s="175"/>
      <c r="X1169" s="175"/>
      <c r="Y1169" s="175"/>
      <c r="Z1169" s="175"/>
      <c r="AA1169" s="175"/>
    </row>
    <row r="1170" spans="1:27" s="176" customFormat="1" hidden="1">
      <c r="A1170" s="1110"/>
      <c r="B1170" s="610"/>
      <c r="C1170" s="495" t="s">
        <v>384</v>
      </c>
      <c r="D1170" s="496">
        <v>21</v>
      </c>
      <c r="E1170" s="606" t="s">
        <v>299</v>
      </c>
      <c r="F1170" s="498">
        <v>9</v>
      </c>
      <c r="G1170" s="611">
        <v>25</v>
      </c>
      <c r="H1170" s="612"/>
      <c r="I1170" s="565">
        <v>16</v>
      </c>
      <c r="J1170" s="565"/>
      <c r="K1170" s="434">
        <f>SUM(G1170*20+I1170)-(D1170*20+F1170)</f>
        <v>87</v>
      </c>
      <c r="L1170" s="357"/>
      <c r="M1170" s="566"/>
      <c r="N1170" s="714"/>
      <c r="O1170" s="618"/>
      <c r="P1170" s="619"/>
      <c r="Q1170" s="566"/>
      <c r="R1170" s="462">
        <f>K1170-R1195</f>
        <v>85</v>
      </c>
      <c r="S1170" s="340" t="s">
        <v>39</v>
      </c>
      <c r="T1170" s="347">
        <v>16</v>
      </c>
      <c r="U1170" s="971"/>
      <c r="V1170" s="306"/>
      <c r="W1170" s="175"/>
      <c r="X1170" s="175"/>
      <c r="Y1170" s="175"/>
      <c r="Z1170" s="175"/>
      <c r="AA1170" s="175"/>
    </row>
    <row r="1171" spans="1:27" s="222" customFormat="1" hidden="1">
      <c r="A1171" s="1106"/>
      <c r="B1171" s="358"/>
      <c r="C1171" s="359"/>
      <c r="D1171" s="587"/>
      <c r="E1171" s="588"/>
      <c r="F1171" s="589"/>
      <c r="G1171" s="587"/>
      <c r="H1171" s="588"/>
      <c r="I1171" s="589"/>
      <c r="J1171" s="360"/>
      <c r="K1171" s="361"/>
      <c r="L1171" s="362"/>
      <c r="M1171" s="363"/>
      <c r="N1171" s="364"/>
      <c r="O1171" s="365"/>
      <c r="P1171" s="362"/>
      <c r="Q1171" s="366"/>
      <c r="R1171" s="367"/>
      <c r="S1171" s="368"/>
      <c r="T1171" s="369"/>
      <c r="U1171" s="370"/>
      <c r="V1171" s="174">
        <f t="shared" si="159"/>
        <v>0</v>
      </c>
    </row>
    <row r="1172" spans="1:27" s="40" customFormat="1" hidden="1">
      <c r="A1172" s="1106"/>
      <c r="B1172" s="371"/>
      <c r="C1172" s="377"/>
      <c r="D1172" s="2548" t="s">
        <v>257</v>
      </c>
      <c r="E1172" s="2549"/>
      <c r="F1172" s="2549"/>
      <c r="G1172" s="2549"/>
      <c r="H1172" s="2549"/>
      <c r="I1172" s="2550"/>
      <c r="J1172" s="2488">
        <f>VLOOKUP(A1174,'11 - FINANCEIRA'!$A$16:$AE$156,30,FALSE)</f>
        <v>839</v>
      </c>
      <c r="K1172" s="2489"/>
      <c r="L1172" s="590" t="str">
        <f>VLOOKUP(A1174,'11 - FINANCEIRA'!_xlnm.Print_Area,4,FALSE)</f>
        <v>un</v>
      </c>
      <c r="M1172" s="2561" t="s">
        <v>258</v>
      </c>
      <c r="N1172" s="2562"/>
      <c r="O1172" s="2562"/>
      <c r="P1172" s="2562"/>
      <c r="Q1172" s="2563"/>
      <c r="R1172" s="375">
        <f>SUM(R1166:R1171)</f>
        <v>493.96000000000004</v>
      </c>
      <c r="S1172" s="591" t="str">
        <f>L1172</f>
        <v>un</v>
      </c>
      <c r="T1172" s="372"/>
      <c r="U1172" s="373"/>
      <c r="V1172" s="174">
        <f t="shared" si="159"/>
        <v>0</v>
      </c>
    </row>
    <row r="1173" spans="1:27" s="40" customFormat="1" hidden="1">
      <c r="A1173" s="1106" t="s">
        <v>99</v>
      </c>
      <c r="B1173" s="1350"/>
      <c r="C1173" s="1351"/>
      <c r="D1173" s="2505" t="s">
        <v>259</v>
      </c>
      <c r="E1173" s="2506"/>
      <c r="F1173" s="2506"/>
      <c r="G1173" s="2506"/>
      <c r="H1173" s="2506"/>
      <c r="I1173" s="2507"/>
      <c r="J1173" s="2511">
        <f>R1172/J1172</f>
        <v>0.58874851013110852</v>
      </c>
      <c r="K1173" s="2512"/>
      <c r="L1173" s="2559"/>
      <c r="M1173" s="2561" t="s">
        <v>260</v>
      </c>
      <c r="N1173" s="2562"/>
      <c r="O1173" s="2562"/>
      <c r="P1173" s="2562"/>
      <c r="Q1173" s="2563"/>
      <c r="R1173" s="375">
        <f>VLOOKUP(A1174,'11 - FINANCEIRA'!_xlnm.Print_Area,8,FALSE)</f>
        <v>493.96000000000004</v>
      </c>
      <c r="S1173" s="376" t="str">
        <f>L1172</f>
        <v>un</v>
      </c>
      <c r="T1173" s="372"/>
      <c r="U1173" s="373"/>
      <c r="V1173" s="174">
        <f t="shared" si="159"/>
        <v>0</v>
      </c>
    </row>
    <row r="1174" spans="1:27" s="40" customFormat="1" hidden="1">
      <c r="A1174" s="1106" t="s">
        <v>100</v>
      </c>
      <c r="B1174" s="1350"/>
      <c r="C1174" s="377"/>
      <c r="D1174" s="2508"/>
      <c r="E1174" s="2509"/>
      <c r="F1174" s="2509"/>
      <c r="G1174" s="2509"/>
      <c r="H1174" s="2509"/>
      <c r="I1174" s="2510"/>
      <c r="J1174" s="2513"/>
      <c r="K1174" s="2514"/>
      <c r="L1174" s="2600"/>
      <c r="M1174" s="2565" t="s">
        <v>261</v>
      </c>
      <c r="N1174" s="2566"/>
      <c r="O1174" s="2566"/>
      <c r="P1174" s="2566"/>
      <c r="Q1174" s="2567"/>
      <c r="R1174" s="378">
        <f>R1172-R1173</f>
        <v>0</v>
      </c>
      <c r="S1174" s="379" t="str">
        <f>L1172</f>
        <v>un</v>
      </c>
      <c r="T1174" s="372"/>
      <c r="U1174" s="1227"/>
      <c r="V1174" s="174">
        <f>R1174</f>
        <v>0</v>
      </c>
    </row>
    <row r="1175" spans="1:27" s="176" customFormat="1">
      <c r="A1175" s="1106"/>
      <c r="B1175" s="2494">
        <f>VLOOKUP(A1186,'11 - FINANCEIRA'!_xlnm.Print_Area,2,FALSE)</f>
        <v>6817852</v>
      </c>
      <c r="C1175" s="2607" t="str">
        <f>VLOOKUP(A1186,'11 - FINANCEIRA'!_xlnm.Print_Area,3,FALSE)</f>
        <v>Fornecimento e assentamento de galeria de concreto pré-moldado 2 X 2 metros fechada (tampa fixa)</v>
      </c>
      <c r="D1175" s="2581" t="s">
        <v>242</v>
      </c>
      <c r="E1175" s="2582"/>
      <c r="F1175" s="2582"/>
      <c r="G1175" s="2582"/>
      <c r="H1175" s="2582"/>
      <c r="I1175" s="2583"/>
      <c r="J1175" s="2496" t="s">
        <v>373</v>
      </c>
      <c r="K1175" s="2496" t="s">
        <v>244</v>
      </c>
      <c r="L1175" s="2496" t="s">
        <v>245</v>
      </c>
      <c r="M1175" s="2496" t="s">
        <v>246</v>
      </c>
      <c r="N1175" s="2496" t="s">
        <v>247</v>
      </c>
      <c r="O1175" s="2496" t="s">
        <v>248</v>
      </c>
      <c r="P1175" s="409" t="s">
        <v>249</v>
      </c>
      <c r="Q1175" s="2496" t="s">
        <v>250</v>
      </c>
      <c r="R1175" s="2577" t="s">
        <v>139</v>
      </c>
      <c r="S1175" s="2496" t="s">
        <v>251</v>
      </c>
      <c r="T1175" s="2496" t="s">
        <v>252</v>
      </c>
      <c r="U1175" s="2586" t="s">
        <v>253</v>
      </c>
      <c r="V1175" s="174">
        <f t="shared" si="159"/>
        <v>22</v>
      </c>
      <c r="W1175" s="175"/>
      <c r="X1175" s="175"/>
      <c r="Y1175" s="175"/>
      <c r="Z1175" s="175"/>
      <c r="AA1175" s="175"/>
    </row>
    <row r="1176" spans="1:27" s="176" customFormat="1">
      <c r="A1176" s="1106"/>
      <c r="B1176" s="2495"/>
      <c r="C1176" s="2608"/>
      <c r="D1176" s="2588" t="s">
        <v>254</v>
      </c>
      <c r="E1176" s="2589"/>
      <c r="F1176" s="2590"/>
      <c r="G1176" s="2591" t="s">
        <v>255</v>
      </c>
      <c r="H1176" s="2592"/>
      <c r="I1176" s="2593"/>
      <c r="J1176" s="2497"/>
      <c r="K1176" s="2497"/>
      <c r="L1176" s="2497"/>
      <c r="M1176" s="2497"/>
      <c r="N1176" s="2497"/>
      <c r="O1176" s="2497"/>
      <c r="P1176" s="410" t="s">
        <v>256</v>
      </c>
      <c r="Q1176" s="2497"/>
      <c r="R1176" s="2578"/>
      <c r="S1176" s="2497"/>
      <c r="T1176" s="2497"/>
      <c r="U1176" s="2587"/>
      <c r="V1176" s="174">
        <f t="shared" si="159"/>
        <v>22</v>
      </c>
      <c r="W1176" s="175"/>
      <c r="X1176" s="175"/>
      <c r="Y1176" s="175"/>
      <c r="Z1176" s="175"/>
      <c r="AA1176" s="175"/>
    </row>
    <row r="1177" spans="1:27" s="176" customFormat="1" ht="31.5">
      <c r="A1177" s="1110"/>
      <c r="B1177" s="609"/>
      <c r="C1177" s="522" t="s">
        <v>384</v>
      </c>
      <c r="D1177" s="443">
        <v>25</v>
      </c>
      <c r="E1177" s="904" t="s">
        <v>299</v>
      </c>
      <c r="F1177" s="445">
        <v>16</v>
      </c>
      <c r="G1177" s="443">
        <v>31</v>
      </c>
      <c r="H1177" s="904" t="s">
        <v>299</v>
      </c>
      <c r="I1177" s="445">
        <v>12</v>
      </c>
      <c r="J1177" s="443"/>
      <c r="K1177" s="434">
        <v>116</v>
      </c>
      <c r="L1177" s="411"/>
      <c r="M1177" s="411"/>
      <c r="N1177" s="411"/>
      <c r="O1177" s="411"/>
      <c r="P1177" s="449"/>
      <c r="Q1177" s="411"/>
      <c r="R1177" s="462">
        <v>116</v>
      </c>
      <c r="S1177" s="340" t="s">
        <v>39</v>
      </c>
      <c r="T1177" s="347">
        <v>25</v>
      </c>
      <c r="U1177" s="1555" t="s">
        <v>1065</v>
      </c>
      <c r="V1177" s="306">
        <f>V1179</f>
        <v>22</v>
      </c>
      <c r="W1177" s="175"/>
      <c r="X1177" s="175"/>
      <c r="Y1177" s="175"/>
      <c r="Z1177" s="175"/>
      <c r="AA1177" s="175"/>
    </row>
    <row r="1178" spans="1:27" s="176" customFormat="1">
      <c r="A1178" s="1110"/>
      <c r="B1178" s="296"/>
      <c r="C1178" s="495" t="s">
        <v>384</v>
      </c>
      <c r="D1178" s="496">
        <v>35</v>
      </c>
      <c r="E1178" s="606" t="s">
        <v>299</v>
      </c>
      <c r="F1178" s="498">
        <v>14</v>
      </c>
      <c r="G1178" s="496">
        <v>39</v>
      </c>
      <c r="H1178" s="606" t="s">
        <v>299</v>
      </c>
      <c r="I1178" s="498">
        <v>16</v>
      </c>
      <c r="J1178" s="434"/>
      <c r="K1178" s="434">
        <f>SUM(G1178*20+I1178)-(D1178*20+F1178)</f>
        <v>82</v>
      </c>
      <c r="L1178" s="340"/>
      <c r="M1178" s="340"/>
      <c r="N1178" s="340"/>
      <c r="O1178" s="340"/>
      <c r="P1178" s="461"/>
      <c r="Q1178" s="340"/>
      <c r="R1178" s="462">
        <v>82</v>
      </c>
      <c r="S1178" s="340" t="s">
        <v>39</v>
      </c>
      <c r="T1178" s="347">
        <v>25</v>
      </c>
      <c r="U1178" s="341"/>
      <c r="V1178" s="306">
        <f>V1182</f>
        <v>0</v>
      </c>
      <c r="W1178" s="175"/>
      <c r="X1178" s="175"/>
      <c r="Y1178" s="175"/>
      <c r="Z1178" s="175"/>
      <c r="AA1178" s="175"/>
    </row>
    <row r="1179" spans="1:27" s="176" customFormat="1">
      <c r="A1179" s="1110"/>
      <c r="B1179" s="296"/>
      <c r="C1179" s="495" t="s">
        <v>384</v>
      </c>
      <c r="D1179" s="496">
        <f t="shared" ref="D1179:I1181" si="160">D316</f>
        <v>31</v>
      </c>
      <c r="E1179" s="606" t="str">
        <f t="shared" si="160"/>
        <v>+</v>
      </c>
      <c r="F1179" s="498">
        <f t="shared" si="160"/>
        <v>12</v>
      </c>
      <c r="G1179" s="496">
        <f t="shared" si="160"/>
        <v>35</v>
      </c>
      <c r="H1179" s="606" t="str">
        <f t="shared" si="160"/>
        <v>+</v>
      </c>
      <c r="I1179" s="498">
        <f t="shared" si="160"/>
        <v>14</v>
      </c>
      <c r="J1179" s="434"/>
      <c r="K1179" s="434">
        <f>SUM(G1179*20+I1179)-(D1179*20+F1179)</f>
        <v>82</v>
      </c>
      <c r="L1179" s="340"/>
      <c r="M1179" s="340"/>
      <c r="N1179" s="340"/>
      <c r="O1179" s="340"/>
      <c r="P1179" s="461"/>
      <c r="Q1179" s="340"/>
      <c r="R1179" s="462">
        <f>K1179</f>
        <v>82</v>
      </c>
      <c r="S1179" s="340" t="s">
        <v>39</v>
      </c>
      <c r="T1179" s="347">
        <v>26</v>
      </c>
      <c r="U1179" s="341"/>
      <c r="V1179" s="306">
        <f>V1184</f>
        <v>22</v>
      </c>
      <c r="W1179" s="175"/>
      <c r="X1179" s="175"/>
      <c r="Y1179" s="175"/>
      <c r="Z1179" s="175"/>
      <c r="AA1179" s="175"/>
    </row>
    <row r="1180" spans="1:27" s="176" customFormat="1">
      <c r="A1180" s="1110"/>
      <c r="B1180" s="296"/>
      <c r="C1180" s="495" t="s">
        <v>384</v>
      </c>
      <c r="D1180" s="496">
        <f t="shared" si="160"/>
        <v>39</v>
      </c>
      <c r="E1180" s="606" t="str">
        <f t="shared" si="160"/>
        <v>+</v>
      </c>
      <c r="F1180" s="498">
        <f t="shared" si="160"/>
        <v>16</v>
      </c>
      <c r="G1180" s="496">
        <f t="shared" si="160"/>
        <v>41</v>
      </c>
      <c r="H1180" s="606" t="str">
        <f t="shared" si="160"/>
        <v>+</v>
      </c>
      <c r="I1180" s="498">
        <f t="shared" si="160"/>
        <v>16</v>
      </c>
      <c r="J1180" s="434"/>
      <c r="K1180" s="434">
        <f>SUM(G1180*20+I1180)-(D1180*20+F1180)</f>
        <v>40</v>
      </c>
      <c r="L1180" s="340"/>
      <c r="M1180" s="340"/>
      <c r="N1180" s="340"/>
      <c r="O1180" s="340"/>
      <c r="P1180" s="461"/>
      <c r="Q1180" s="340"/>
      <c r="R1180" s="462">
        <f>K1180</f>
        <v>40</v>
      </c>
      <c r="S1180" s="340" t="s">
        <v>39</v>
      </c>
      <c r="T1180" s="347">
        <v>26</v>
      </c>
      <c r="U1180" s="341"/>
      <c r="V1180" s="306">
        <f>V1185</f>
        <v>22</v>
      </c>
      <c r="W1180" s="175"/>
      <c r="X1180" s="175"/>
      <c r="Y1180" s="175"/>
      <c r="Z1180" s="175"/>
      <c r="AA1180" s="175"/>
    </row>
    <row r="1181" spans="1:27" s="176" customFormat="1">
      <c r="A1181" s="1110"/>
      <c r="B1181" s="296"/>
      <c r="C1181" s="495" t="s">
        <v>384</v>
      </c>
      <c r="D1181" s="496">
        <f t="shared" si="160"/>
        <v>41</v>
      </c>
      <c r="E1181" s="606" t="str">
        <f t="shared" si="160"/>
        <v>+</v>
      </c>
      <c r="F1181" s="498">
        <f t="shared" si="160"/>
        <v>16</v>
      </c>
      <c r="G1181" s="496">
        <f t="shared" si="160"/>
        <v>42</v>
      </c>
      <c r="H1181" s="606" t="str">
        <f t="shared" si="160"/>
        <v>+</v>
      </c>
      <c r="I1181" s="498">
        <f t="shared" si="160"/>
        <v>12</v>
      </c>
      <c r="J1181" s="434"/>
      <c r="K1181" s="434">
        <f>SUM(G1181*20+I1181)-(D1181*20+F1181)</f>
        <v>16</v>
      </c>
      <c r="L1181" s="340"/>
      <c r="M1181" s="340"/>
      <c r="N1181" s="340"/>
      <c r="O1181" s="340"/>
      <c r="P1181" s="461"/>
      <c r="Q1181" s="340"/>
      <c r="R1181" s="462">
        <f>K1181</f>
        <v>16</v>
      </c>
      <c r="S1181" s="340" t="s">
        <v>39</v>
      </c>
      <c r="T1181" s="347">
        <v>27</v>
      </c>
      <c r="U1181" s="341"/>
      <c r="V1181" s="306">
        <f>V1186</f>
        <v>22</v>
      </c>
      <c r="W1181" s="175"/>
      <c r="X1181" s="175"/>
      <c r="Y1181" s="175"/>
      <c r="Z1181" s="175"/>
      <c r="AA1181" s="175"/>
    </row>
    <row r="1182" spans="1:27" s="765" customFormat="1">
      <c r="A1182" s="1771"/>
      <c r="B1182" s="767"/>
      <c r="C1182" s="1204" t="s">
        <v>384</v>
      </c>
      <c r="D1182" s="436">
        <v>42</v>
      </c>
      <c r="E1182" s="794" t="str">
        <f>E319</f>
        <v>+</v>
      </c>
      <c r="F1182" s="437">
        <f>F319</f>
        <v>12</v>
      </c>
      <c r="G1182" s="436">
        <v>43</v>
      </c>
      <c r="H1182" s="794" t="str">
        <f>H319</f>
        <v>+</v>
      </c>
      <c r="I1182" s="437">
        <v>14</v>
      </c>
      <c r="J1182" s="439"/>
      <c r="K1182" s="439">
        <f>SUM(G1182*20+I1182)-(D1182*20+F1182)</f>
        <v>22</v>
      </c>
      <c r="L1182" s="438"/>
      <c r="M1182" s="438"/>
      <c r="N1182" s="438"/>
      <c r="O1182" s="438"/>
      <c r="P1182" s="453"/>
      <c r="Q1182" s="438"/>
      <c r="R1182" s="454">
        <f>K1182</f>
        <v>22</v>
      </c>
      <c r="S1182" s="438" t="s">
        <v>39</v>
      </c>
      <c r="T1182" s="441">
        <v>28</v>
      </c>
      <c r="U1182" s="620"/>
      <c r="V1182" s="713">
        <f>V1187</f>
        <v>0</v>
      </c>
      <c r="W1182" s="688"/>
      <c r="X1182" s="688"/>
      <c r="Y1182" s="688"/>
      <c r="Z1182" s="688"/>
      <c r="AA1182" s="688"/>
    </row>
    <row r="1183" spans="1:27" s="765" customFormat="1">
      <c r="A1183" s="1771"/>
      <c r="B1183" s="1172"/>
      <c r="C1183" s="2282"/>
      <c r="D1183" s="1214"/>
      <c r="E1183" s="2129"/>
      <c r="F1183" s="1242"/>
      <c r="G1183" s="2129"/>
      <c r="H1183" s="2129"/>
      <c r="I1183" s="1215"/>
      <c r="J1183" s="1492"/>
      <c r="K1183" s="1492"/>
      <c r="L1183" s="1493"/>
      <c r="M1183" s="1493"/>
      <c r="N1183" s="1493"/>
      <c r="O1183" s="1493"/>
      <c r="P1183" s="1495"/>
      <c r="Q1183" s="1493"/>
      <c r="R1183" s="1219"/>
      <c r="S1183" s="1174"/>
      <c r="T1183" s="1497"/>
      <c r="U1183" s="1581"/>
      <c r="V1183" s="713"/>
      <c r="W1183" s="688"/>
      <c r="X1183" s="688"/>
      <c r="Y1183" s="688"/>
      <c r="Z1183" s="688"/>
      <c r="AA1183" s="688"/>
    </row>
    <row r="1184" spans="1:27" s="40" customFormat="1">
      <c r="A1184" s="1106"/>
      <c r="B1184" s="645"/>
      <c r="C1184" s="1614"/>
      <c r="D1184" s="2548" t="s">
        <v>257</v>
      </c>
      <c r="E1184" s="2549"/>
      <c r="F1184" s="2549"/>
      <c r="G1184" s="2549"/>
      <c r="H1184" s="2549"/>
      <c r="I1184" s="2550"/>
      <c r="J1184" s="2490">
        <f>VLOOKUP(A1186,'11 - FINANCEIRA'!$A$16:$AE$156,30,FALSE)</f>
        <v>358</v>
      </c>
      <c r="K1184" s="2491"/>
      <c r="L1184" s="590" t="str">
        <f>VLOOKUP(A1186,'11 - FINANCEIRA'!_xlnm.Print_Area,4,FALSE)</f>
        <v>un</v>
      </c>
      <c r="M1184" s="2561" t="s">
        <v>258</v>
      </c>
      <c r="N1184" s="2562"/>
      <c r="O1184" s="2562"/>
      <c r="P1184" s="2562"/>
      <c r="Q1184" s="2563"/>
      <c r="R1184" s="375">
        <f>SUM(R1177:R1182)</f>
        <v>358</v>
      </c>
      <c r="S1184" s="591" t="str">
        <f>L1184</f>
        <v>un</v>
      </c>
      <c r="T1184" s="646"/>
      <c r="U1184" s="391"/>
      <c r="V1184" s="174">
        <f t="shared" si="159"/>
        <v>22</v>
      </c>
    </row>
    <row r="1185" spans="1:27" s="40" customFormat="1">
      <c r="A1185" s="1106"/>
      <c r="B1185" s="1350"/>
      <c r="C1185" s="1351"/>
      <c r="D1185" s="2505" t="s">
        <v>259</v>
      </c>
      <c r="E1185" s="2506"/>
      <c r="F1185" s="2506"/>
      <c r="G1185" s="2506"/>
      <c r="H1185" s="2506"/>
      <c r="I1185" s="2507"/>
      <c r="J1185" s="2511">
        <f>R1184/J1184</f>
        <v>1</v>
      </c>
      <c r="K1185" s="2512"/>
      <c r="L1185" s="2559"/>
      <c r="M1185" s="2561" t="s">
        <v>260</v>
      </c>
      <c r="N1185" s="2562"/>
      <c r="O1185" s="2562"/>
      <c r="P1185" s="2562"/>
      <c r="Q1185" s="2563"/>
      <c r="R1185" s="375">
        <f>VLOOKUP(A1186,'11 - FINANCEIRA'!_xlnm.Print_Area,8,FALSE)</f>
        <v>336</v>
      </c>
      <c r="S1185" s="376" t="str">
        <f>L1184</f>
        <v>un</v>
      </c>
      <c r="T1185" s="1353"/>
      <c r="U1185" s="1227"/>
      <c r="V1185" s="174">
        <f t="shared" si="159"/>
        <v>22</v>
      </c>
    </row>
    <row r="1186" spans="1:27" s="40" customFormat="1">
      <c r="A1186" s="1106" t="s">
        <v>1061</v>
      </c>
      <c r="B1186" s="647"/>
      <c r="C1186" s="1352"/>
      <c r="D1186" s="2551"/>
      <c r="E1186" s="2552"/>
      <c r="F1186" s="2552"/>
      <c r="G1186" s="2552"/>
      <c r="H1186" s="2552"/>
      <c r="I1186" s="2553"/>
      <c r="J1186" s="2530"/>
      <c r="K1186" s="2531"/>
      <c r="L1186" s="2560"/>
      <c r="M1186" s="2561" t="s">
        <v>261</v>
      </c>
      <c r="N1186" s="2562"/>
      <c r="O1186" s="2562"/>
      <c r="P1186" s="2562"/>
      <c r="Q1186" s="2563"/>
      <c r="R1186" s="375">
        <f>R1184-R1185</f>
        <v>22</v>
      </c>
      <c r="S1186" s="376" t="str">
        <f>L1184</f>
        <v>un</v>
      </c>
      <c r="T1186" s="1354"/>
      <c r="U1186" s="1355"/>
      <c r="V1186" s="174">
        <f>R1186</f>
        <v>22</v>
      </c>
    </row>
    <row r="1187" spans="1:27" s="40" customFormat="1" hidden="1">
      <c r="A1187" s="1106"/>
      <c r="B1187" s="1347"/>
      <c r="C1187" s="377"/>
      <c r="D1187" s="1338"/>
      <c r="E1187" s="1338"/>
      <c r="F1187" s="1338"/>
      <c r="G1187" s="1338"/>
      <c r="H1187" s="1338"/>
      <c r="I1187" s="1338"/>
      <c r="J1187" s="1348"/>
      <c r="K1187" s="1348"/>
      <c r="L1187" s="1349"/>
      <c r="M1187" s="2156"/>
      <c r="N1187" s="2156"/>
      <c r="O1187" s="2156"/>
      <c r="P1187" s="2156"/>
      <c r="Q1187" s="2156"/>
      <c r="R1187" s="2157"/>
      <c r="S1187" s="2158"/>
      <c r="T1187" s="372"/>
      <c r="U1187" s="1227"/>
      <c r="V1187" s="174"/>
    </row>
    <row r="1188" spans="1:27" s="40" customFormat="1" hidden="1">
      <c r="A1188" s="1106"/>
      <c r="B1188" s="2601"/>
      <c r="C1188" s="2602"/>
      <c r="D1188" s="2602"/>
      <c r="E1188" s="2602"/>
      <c r="F1188" s="2602"/>
      <c r="G1188" s="2602"/>
      <c r="H1188" s="2602"/>
      <c r="I1188" s="2602"/>
      <c r="J1188" s="2602"/>
      <c r="K1188" s="2602"/>
      <c r="L1188" s="2602"/>
      <c r="M1188" s="2602"/>
      <c r="N1188" s="2602"/>
      <c r="O1188" s="2602"/>
      <c r="P1188" s="2602"/>
      <c r="Q1188" s="2602"/>
      <c r="R1188" s="2602"/>
      <c r="S1188" s="2602"/>
      <c r="T1188" s="2602"/>
      <c r="U1188" s="2603"/>
      <c r="V1188" s="265">
        <f>SUM(V1164:V1174)</f>
        <v>0</v>
      </c>
    </row>
    <row r="1189" spans="1:27" s="176" customFormat="1" ht="33.75" hidden="1" customHeight="1">
      <c r="A1189" s="1106"/>
      <c r="B1189" s="2494">
        <f>VLOOKUP(A1199,'11 - FINANCEIRA'!_xlnm.Print_Area,2,FALSE)</f>
        <v>6817851</v>
      </c>
      <c r="C1189" s="2498" t="str">
        <f>VLOOKUP(A1199,'11 - FINANCEIRA'!_xlnm.Print_Area,3,FALSE)</f>
        <v>Fornecimento e assentamento de galeria de concreto pré-moldado 3 X 2 metros aberta (tampa removível)</v>
      </c>
      <c r="D1189" s="2581" t="s">
        <v>242</v>
      </c>
      <c r="E1189" s="2582"/>
      <c r="F1189" s="2582"/>
      <c r="G1189" s="2582"/>
      <c r="H1189" s="2582"/>
      <c r="I1189" s="2583"/>
      <c r="J1189" s="2496" t="s">
        <v>373</v>
      </c>
      <c r="K1189" s="2496" t="s">
        <v>244</v>
      </c>
      <c r="L1189" s="2496" t="s">
        <v>245</v>
      </c>
      <c r="M1189" s="2496" t="s">
        <v>246</v>
      </c>
      <c r="N1189" s="2496" t="s">
        <v>247</v>
      </c>
      <c r="O1189" s="2496" t="s">
        <v>248</v>
      </c>
      <c r="P1189" s="409" t="s">
        <v>249</v>
      </c>
      <c r="Q1189" s="2496" t="s">
        <v>250</v>
      </c>
      <c r="R1189" s="2577" t="s">
        <v>139</v>
      </c>
      <c r="S1189" s="2496" t="s">
        <v>251</v>
      </c>
      <c r="T1189" s="2496" t="s">
        <v>252</v>
      </c>
      <c r="U1189" s="2586" t="s">
        <v>253</v>
      </c>
      <c r="V1189" s="174">
        <f t="shared" ref="V1189:V1198" si="161">V1190</f>
        <v>0</v>
      </c>
      <c r="W1189" s="175"/>
      <c r="X1189" s="175"/>
      <c r="Y1189" s="175"/>
      <c r="Z1189" s="175"/>
      <c r="AA1189" s="175"/>
    </row>
    <row r="1190" spans="1:27" s="176" customFormat="1" hidden="1">
      <c r="A1190" s="1106"/>
      <c r="B1190" s="2495"/>
      <c r="C1190" s="2499"/>
      <c r="D1190" s="2588" t="s">
        <v>254</v>
      </c>
      <c r="E1190" s="2589"/>
      <c r="F1190" s="2590"/>
      <c r="G1190" s="2591" t="s">
        <v>255</v>
      </c>
      <c r="H1190" s="2592"/>
      <c r="I1190" s="2593"/>
      <c r="J1190" s="2497"/>
      <c r="K1190" s="2497"/>
      <c r="L1190" s="2497"/>
      <c r="M1190" s="2497"/>
      <c r="N1190" s="2497"/>
      <c r="O1190" s="2497"/>
      <c r="P1190" s="410" t="s">
        <v>256</v>
      </c>
      <c r="Q1190" s="2497"/>
      <c r="R1190" s="2578"/>
      <c r="S1190" s="2497"/>
      <c r="T1190" s="2497"/>
      <c r="U1190" s="2587"/>
      <c r="V1190" s="174">
        <f t="shared" si="161"/>
        <v>0</v>
      </c>
      <c r="W1190" s="175"/>
      <c r="X1190" s="175"/>
      <c r="Y1190" s="175"/>
      <c r="Z1190" s="175"/>
      <c r="AA1190" s="175"/>
    </row>
    <row r="1191" spans="1:27" s="176" customFormat="1" hidden="1">
      <c r="A1191" s="1106"/>
      <c r="B1191" s="609"/>
      <c r="C1191" s="833" t="s">
        <v>385</v>
      </c>
      <c r="D1191" s="443">
        <f>D1122</f>
        <v>0</v>
      </c>
      <c r="E1191" s="612" t="s">
        <v>299</v>
      </c>
      <c r="F1191" s="445">
        <v>14.04</v>
      </c>
      <c r="G1191" s="611">
        <v>11</v>
      </c>
      <c r="H1191" s="502" t="s">
        <v>299</v>
      </c>
      <c r="I1191" s="565">
        <v>10</v>
      </c>
      <c r="J1191" s="411"/>
      <c r="K1191" s="555">
        <f>SUM(G1191*20+I1191)-(D1191*20+F1191)</f>
        <v>215.96</v>
      </c>
      <c r="L1191" s="411"/>
      <c r="M1191" s="411"/>
      <c r="N1191" s="411"/>
      <c r="O1191" s="411"/>
      <c r="P1191" s="449"/>
      <c r="Q1191" s="411"/>
      <c r="R1191" s="450">
        <v>8</v>
      </c>
      <c r="S1191" s="411" t="s">
        <v>148</v>
      </c>
      <c r="T1191" s="451">
        <v>6</v>
      </c>
      <c r="U1191" s="768"/>
      <c r="V1191" s="174">
        <f t="shared" si="161"/>
        <v>0</v>
      </c>
      <c r="W1191" s="175"/>
      <c r="X1191" s="175"/>
      <c r="Y1191" s="175"/>
      <c r="Z1191" s="175"/>
      <c r="AA1191" s="175"/>
    </row>
    <row r="1192" spans="1:27" s="176" customFormat="1" hidden="1">
      <c r="A1192" s="1110"/>
      <c r="B1192" s="296"/>
      <c r="C1192" s="875" t="s">
        <v>385</v>
      </c>
      <c r="D1192" s="496">
        <v>11</v>
      </c>
      <c r="E1192" s="606" t="s">
        <v>299</v>
      </c>
      <c r="F1192" s="498">
        <v>10</v>
      </c>
      <c r="G1192" s="496">
        <v>14</v>
      </c>
      <c r="H1192" s="497" t="s">
        <v>299</v>
      </c>
      <c r="I1192" s="498">
        <v>14</v>
      </c>
      <c r="J1192" s="340"/>
      <c r="K1192" s="434">
        <f>SUM(G1192*20+I1192)-(D1192*20+F1192)</f>
        <v>64</v>
      </c>
      <c r="L1192" s="340"/>
      <c r="M1192" s="340"/>
      <c r="N1192" s="340"/>
      <c r="O1192" s="340"/>
      <c r="P1192" s="461"/>
      <c r="Q1192" s="340"/>
      <c r="R1192" s="462">
        <v>2</v>
      </c>
      <c r="S1192" s="340" t="s">
        <v>148</v>
      </c>
      <c r="T1192" s="347">
        <v>13</v>
      </c>
      <c r="U1192" s="435"/>
      <c r="V1192" s="306">
        <f t="shared" si="161"/>
        <v>0</v>
      </c>
      <c r="W1192" s="175"/>
      <c r="X1192" s="175"/>
      <c r="Y1192" s="175"/>
      <c r="Z1192" s="175"/>
      <c r="AA1192" s="175"/>
    </row>
    <row r="1193" spans="1:27" s="176" customFormat="1" hidden="1">
      <c r="A1193" s="1110"/>
      <c r="B1193" s="296"/>
      <c r="C1193" s="875" t="s">
        <v>385</v>
      </c>
      <c r="D1193" s="496">
        <v>14</v>
      </c>
      <c r="E1193" s="606" t="s">
        <v>299</v>
      </c>
      <c r="F1193" s="498">
        <v>14</v>
      </c>
      <c r="G1193" s="496">
        <v>19</v>
      </c>
      <c r="H1193" s="606" t="s">
        <v>299</v>
      </c>
      <c r="I1193" s="498">
        <v>2</v>
      </c>
      <c r="J1193" s="498"/>
      <c r="K1193" s="434">
        <f>SUM(G1193*20+I1193)-(D1193*20+F1193)</f>
        <v>88</v>
      </c>
      <c r="L1193" s="340"/>
      <c r="M1193" s="340"/>
      <c r="N1193" s="340"/>
      <c r="O1193" s="340"/>
      <c r="P1193" s="461"/>
      <c r="Q1193" s="340"/>
      <c r="R1193" s="462">
        <v>4</v>
      </c>
      <c r="S1193" s="340" t="s">
        <v>148</v>
      </c>
      <c r="T1193" s="347">
        <v>14</v>
      </c>
      <c r="U1193" s="435" t="s">
        <v>591</v>
      </c>
      <c r="V1193" s="306">
        <f t="shared" si="161"/>
        <v>0</v>
      </c>
      <c r="W1193" s="175"/>
      <c r="X1193" s="175"/>
      <c r="Y1193" s="175"/>
      <c r="Z1193" s="175"/>
      <c r="AA1193" s="175"/>
    </row>
    <row r="1194" spans="1:27" s="176" customFormat="1" hidden="1">
      <c r="A1194" s="1110"/>
      <c r="B1194" s="296"/>
      <c r="C1194" s="875" t="s">
        <v>385</v>
      </c>
      <c r="D1194" s="496">
        <v>19</v>
      </c>
      <c r="E1194" s="606" t="s">
        <v>299</v>
      </c>
      <c r="F1194" s="498">
        <v>2</v>
      </c>
      <c r="G1194" s="496">
        <v>21</v>
      </c>
      <c r="H1194" s="606" t="s">
        <v>299</v>
      </c>
      <c r="I1194" s="498">
        <v>9</v>
      </c>
      <c r="J1194" s="498"/>
      <c r="K1194" s="434">
        <f>SUM(G1194*20+I1194)-(D1194*20+F1194)</f>
        <v>47</v>
      </c>
      <c r="L1194" s="340"/>
      <c r="M1194" s="340"/>
      <c r="N1194" s="340"/>
      <c r="O1194" s="340"/>
      <c r="P1194" s="461"/>
      <c r="Q1194" s="340"/>
      <c r="R1194" s="462">
        <v>2</v>
      </c>
      <c r="S1194" s="340" t="s">
        <v>148</v>
      </c>
      <c r="T1194" s="347">
        <v>15</v>
      </c>
      <c r="U1194" s="435"/>
      <c r="V1194" s="306">
        <f t="shared" si="161"/>
        <v>0</v>
      </c>
      <c r="W1194" s="175"/>
      <c r="X1194" s="175"/>
      <c r="Y1194" s="175"/>
      <c r="Z1194" s="175"/>
      <c r="AA1194" s="175"/>
    </row>
    <row r="1195" spans="1:27" s="176" customFormat="1" hidden="1">
      <c r="A1195" s="1110"/>
      <c r="B1195" s="296"/>
      <c r="C1195" s="875" t="s">
        <v>385</v>
      </c>
      <c r="D1195" s="496">
        <f>G1194</f>
        <v>21</v>
      </c>
      <c r="E1195" s="606" t="s">
        <v>299</v>
      </c>
      <c r="F1195" s="498">
        <f>I1194</f>
        <v>9</v>
      </c>
      <c r="G1195" s="496">
        <v>25</v>
      </c>
      <c r="H1195" s="606" t="s">
        <v>299</v>
      </c>
      <c r="I1195" s="498">
        <v>16</v>
      </c>
      <c r="J1195" s="498"/>
      <c r="K1195" s="434">
        <f>SUM(G1195*20+I1195)-(D1195*20+F1195)</f>
        <v>87</v>
      </c>
      <c r="L1195" s="340"/>
      <c r="M1195" s="340"/>
      <c r="N1195" s="340"/>
      <c r="O1195" s="340"/>
      <c r="P1195" s="461"/>
      <c r="Q1195" s="340"/>
      <c r="R1195" s="462">
        <v>2</v>
      </c>
      <c r="S1195" s="340" t="s">
        <v>148</v>
      </c>
      <c r="T1195" s="347">
        <v>16</v>
      </c>
      <c r="U1195" s="435"/>
      <c r="V1195" s="306">
        <f>V1197</f>
        <v>0</v>
      </c>
      <c r="W1195" s="175"/>
      <c r="X1195" s="175"/>
      <c r="Y1195" s="175"/>
      <c r="Z1195" s="175"/>
      <c r="AA1195" s="175"/>
    </row>
    <row r="1196" spans="1:27" s="176" customFormat="1" hidden="1">
      <c r="A1196" s="1110"/>
      <c r="B1196" s="967"/>
      <c r="C1196" s="1037"/>
      <c r="D1196" s="430"/>
      <c r="E1196" s="653"/>
      <c r="F1196" s="1157"/>
      <c r="G1196" s="653"/>
      <c r="H1196" s="653"/>
      <c r="I1196" s="431"/>
      <c r="J1196" s="1710"/>
      <c r="K1196" s="1710"/>
      <c r="L1196" s="360"/>
      <c r="M1196" s="360"/>
      <c r="N1196" s="360"/>
      <c r="O1196" s="360"/>
      <c r="P1196" s="1599"/>
      <c r="Q1196" s="360"/>
      <c r="R1196" s="304"/>
      <c r="S1196" s="299"/>
      <c r="T1196" s="1497"/>
      <c r="U1196" s="1029"/>
      <c r="V1196" s="306"/>
      <c r="W1196" s="175"/>
      <c r="X1196" s="175"/>
      <c r="Y1196" s="175"/>
      <c r="Z1196" s="175"/>
      <c r="AA1196" s="175"/>
    </row>
    <row r="1197" spans="1:27" s="40" customFormat="1" hidden="1">
      <c r="A1197" s="1106"/>
      <c r="B1197" s="645"/>
      <c r="C1197" s="1614"/>
      <c r="D1197" s="2548" t="s">
        <v>257</v>
      </c>
      <c r="E1197" s="2549"/>
      <c r="F1197" s="2549"/>
      <c r="G1197" s="2549"/>
      <c r="H1197" s="2549"/>
      <c r="I1197" s="2550"/>
      <c r="J1197" s="2490">
        <f>VLOOKUP(A1199,'11 - FINANCEIRA'!$A$16:$AE$156,30,FALSE)</f>
        <v>18</v>
      </c>
      <c r="K1197" s="2491"/>
      <c r="L1197" s="590" t="str">
        <f>VLOOKUP(A1199,'11 - FINANCEIRA'!_xlnm.Print_Area,4,FALSE)</f>
        <v>un</v>
      </c>
      <c r="M1197" s="2561" t="s">
        <v>258</v>
      </c>
      <c r="N1197" s="2562"/>
      <c r="O1197" s="2562"/>
      <c r="P1197" s="2562"/>
      <c r="Q1197" s="2563"/>
      <c r="R1197" s="375">
        <f>SUM(R1191:R1195)</f>
        <v>18</v>
      </c>
      <c r="S1197" s="591" t="str">
        <f>L1197</f>
        <v>un</v>
      </c>
      <c r="T1197" s="390"/>
      <c r="U1197" s="391"/>
      <c r="V1197" s="174">
        <f t="shared" si="161"/>
        <v>0</v>
      </c>
    </row>
    <row r="1198" spans="1:27" s="40" customFormat="1" hidden="1">
      <c r="A1198" s="1106"/>
      <c r="B1198" s="371"/>
      <c r="C1198" s="374"/>
      <c r="D1198" s="2505" t="s">
        <v>259</v>
      </c>
      <c r="E1198" s="2506"/>
      <c r="F1198" s="2506"/>
      <c r="G1198" s="2506"/>
      <c r="H1198" s="2506"/>
      <c r="I1198" s="2507"/>
      <c r="J1198" s="2511">
        <f>R1197/J1197</f>
        <v>1</v>
      </c>
      <c r="K1198" s="2512"/>
      <c r="L1198" s="2559"/>
      <c r="M1198" s="2561" t="s">
        <v>260</v>
      </c>
      <c r="N1198" s="2562"/>
      <c r="O1198" s="2562"/>
      <c r="P1198" s="2562"/>
      <c r="Q1198" s="2563"/>
      <c r="R1198" s="375">
        <f>VLOOKUP(A1199,'11 - FINANCEIRA'!_xlnm.Print_Area,8,FALSE)</f>
        <v>18</v>
      </c>
      <c r="S1198" s="376" t="str">
        <f>L1197</f>
        <v>un</v>
      </c>
      <c r="T1198" s="372"/>
      <c r="U1198" s="373"/>
      <c r="V1198" s="174">
        <f t="shared" si="161"/>
        <v>0</v>
      </c>
    </row>
    <row r="1199" spans="1:27" s="40" customFormat="1" hidden="1">
      <c r="A1199" s="1106" t="s">
        <v>101</v>
      </c>
      <c r="B1199" s="371"/>
      <c r="C1199" s="377"/>
      <c r="D1199" s="2551"/>
      <c r="E1199" s="2552"/>
      <c r="F1199" s="2552"/>
      <c r="G1199" s="2552"/>
      <c r="H1199" s="2552"/>
      <c r="I1199" s="2553"/>
      <c r="J1199" s="2530"/>
      <c r="K1199" s="2531"/>
      <c r="L1199" s="2560"/>
      <c r="M1199" s="2561" t="s">
        <v>261</v>
      </c>
      <c r="N1199" s="2562"/>
      <c r="O1199" s="2562"/>
      <c r="P1199" s="2562"/>
      <c r="Q1199" s="2563"/>
      <c r="R1199" s="378">
        <f>R1197-R1198</f>
        <v>0</v>
      </c>
      <c r="S1199" s="379" t="str">
        <f>L1197</f>
        <v>un</v>
      </c>
      <c r="T1199" s="372"/>
      <c r="U1199" s="373"/>
      <c r="V1199" s="174">
        <f>R1199</f>
        <v>0</v>
      </c>
    </row>
    <row r="1200" spans="1:27" s="40" customFormat="1" hidden="1">
      <c r="A1200" s="1106"/>
      <c r="B1200" s="380"/>
      <c r="C1200" s="381"/>
      <c r="D1200" s="382"/>
      <c r="E1200" s="383"/>
      <c r="F1200" s="382"/>
      <c r="G1200" s="382"/>
      <c r="H1200" s="382"/>
      <c r="I1200" s="382"/>
      <c r="J1200" s="384"/>
      <c r="K1200" s="385"/>
      <c r="L1200" s="386"/>
      <c r="M1200" s="387"/>
      <c r="N1200" s="387"/>
      <c r="O1200" s="387"/>
      <c r="P1200" s="387"/>
      <c r="Q1200" s="387"/>
      <c r="R1200" s="388"/>
      <c r="S1200" s="389"/>
      <c r="T1200" s="390"/>
      <c r="U1200" s="391"/>
      <c r="V1200" s="265">
        <f>SUM(V1189:V1199)</f>
        <v>0</v>
      </c>
    </row>
    <row r="1201" spans="1:27" s="176" customFormat="1" ht="31.5" customHeight="1">
      <c r="A1201" s="1106"/>
      <c r="B1201" s="2494">
        <f>VLOOKUP(A1213,'11 - FINANCEIRA'!_xlnm.Print_Area,2,FALSE)</f>
        <v>1106057</v>
      </c>
      <c r="C1201" s="2498" t="str">
        <f>VLOOKUP(A1213,'11 - FINANCEIRA'!_xlnm.Print_Area,3,FALSE)</f>
        <v>Concreto magro - confecção em betoneira e lançamento manual - areia e brita comerciais</v>
      </c>
      <c r="D1201" s="2581" t="s">
        <v>242</v>
      </c>
      <c r="E1201" s="2582"/>
      <c r="F1201" s="2582"/>
      <c r="G1201" s="2582"/>
      <c r="H1201" s="2582"/>
      <c r="I1201" s="2583"/>
      <c r="J1201" s="2467" t="s">
        <v>243</v>
      </c>
      <c r="K1201" s="2496" t="s">
        <v>244</v>
      </c>
      <c r="L1201" s="2496" t="s">
        <v>245</v>
      </c>
      <c r="M1201" s="2496" t="s">
        <v>246</v>
      </c>
      <c r="N1201" s="2496" t="s">
        <v>247</v>
      </c>
      <c r="O1201" s="2496" t="s">
        <v>248</v>
      </c>
      <c r="P1201" s="409" t="s">
        <v>249</v>
      </c>
      <c r="Q1201" s="2496" t="s">
        <v>250</v>
      </c>
      <c r="R1201" s="2577" t="s">
        <v>139</v>
      </c>
      <c r="S1201" s="2496" t="s">
        <v>251</v>
      </c>
      <c r="T1201" s="2496" t="s">
        <v>252</v>
      </c>
      <c r="U1201" s="2586" t="s">
        <v>253</v>
      </c>
      <c r="V1201" s="174">
        <f>V1202</f>
        <v>77.28</v>
      </c>
      <c r="W1201" s="175"/>
      <c r="X1201" s="175"/>
      <c r="Y1201" s="175"/>
      <c r="Z1201" s="175"/>
      <c r="AA1201" s="175"/>
    </row>
    <row r="1202" spans="1:27" s="176" customFormat="1">
      <c r="A1202" s="1106"/>
      <c r="B1202" s="2495"/>
      <c r="C1202" s="2499"/>
      <c r="D1202" s="2588" t="s">
        <v>254</v>
      </c>
      <c r="E1202" s="2589"/>
      <c r="F1202" s="2590"/>
      <c r="G1202" s="2591" t="s">
        <v>255</v>
      </c>
      <c r="H1202" s="2592"/>
      <c r="I1202" s="2593"/>
      <c r="J1202" s="2468"/>
      <c r="K1202" s="2497"/>
      <c r="L1202" s="2497"/>
      <c r="M1202" s="2497"/>
      <c r="N1202" s="2497"/>
      <c r="O1202" s="2497"/>
      <c r="P1202" s="410" t="s">
        <v>256</v>
      </c>
      <c r="Q1202" s="2497"/>
      <c r="R1202" s="2578"/>
      <c r="S1202" s="2497"/>
      <c r="T1202" s="2497"/>
      <c r="U1202" s="2587"/>
      <c r="V1202" s="174">
        <f>V1203</f>
        <v>77.28</v>
      </c>
      <c r="W1202" s="175"/>
      <c r="X1202" s="175"/>
      <c r="Y1202" s="175"/>
      <c r="Z1202" s="175"/>
      <c r="AA1202" s="175"/>
    </row>
    <row r="1203" spans="1:27" s="176" customFormat="1">
      <c r="A1203" s="1110"/>
      <c r="B1203" s="609"/>
      <c r="C1203" s="337" t="s">
        <v>627</v>
      </c>
      <c r="D1203" s="443">
        <v>0</v>
      </c>
      <c r="E1203" s="904" t="s">
        <v>299</v>
      </c>
      <c r="F1203" s="445">
        <v>14.04</v>
      </c>
      <c r="G1203" s="446">
        <v>11</v>
      </c>
      <c r="H1203" s="905" t="s">
        <v>299</v>
      </c>
      <c r="I1203" s="448">
        <v>10</v>
      </c>
      <c r="J1203" s="555" t="s">
        <v>300</v>
      </c>
      <c r="K1203" s="555">
        <f t="shared" ref="K1203:K1208" si="162">(G1203-D1203)*20+I1203-F1203</f>
        <v>215.96</v>
      </c>
      <c r="L1203" s="555">
        <v>3.8</v>
      </c>
      <c r="M1203" s="411">
        <v>0.05</v>
      </c>
      <c r="N1203" s="411"/>
      <c r="O1203" s="475">
        <f t="shared" ref="O1203:O1208" si="163">TRUNC(K1203*L1203*M1203,3)</f>
        <v>41.031999999999996</v>
      </c>
      <c r="P1203" s="449"/>
      <c r="Q1203" s="411"/>
      <c r="R1203" s="450">
        <f t="shared" ref="R1203:R1208" si="164">O1203</f>
        <v>41.031999999999996</v>
      </c>
      <c r="S1203" s="411" t="s">
        <v>164</v>
      </c>
      <c r="T1203" s="451">
        <v>6</v>
      </c>
      <c r="U1203" s="1555"/>
      <c r="V1203" s="306">
        <f>V1205</f>
        <v>77.28</v>
      </c>
      <c r="W1203" s="175"/>
      <c r="X1203" s="175"/>
      <c r="Y1203" s="175"/>
      <c r="Z1203" s="175"/>
      <c r="AA1203" s="175"/>
    </row>
    <row r="1204" spans="1:27" s="176" customFormat="1">
      <c r="A1204" s="1110"/>
      <c r="B1204" s="296"/>
      <c r="C1204" s="339" t="s">
        <v>628</v>
      </c>
      <c r="D1204" s="496">
        <f>G1203</f>
        <v>11</v>
      </c>
      <c r="E1204" s="606" t="s">
        <v>299</v>
      </c>
      <c r="F1204" s="498">
        <f>I1203</f>
        <v>10</v>
      </c>
      <c r="G1204" s="533">
        <v>14</v>
      </c>
      <c r="H1204" s="649" t="s">
        <v>299</v>
      </c>
      <c r="I1204" s="545">
        <v>10</v>
      </c>
      <c r="J1204" s="434" t="s">
        <v>300</v>
      </c>
      <c r="K1204" s="434">
        <f t="shared" si="162"/>
        <v>60</v>
      </c>
      <c r="L1204" s="434">
        <f>4.4-3.4</f>
        <v>1.0000000000000004</v>
      </c>
      <c r="M1204" s="340">
        <v>0.05</v>
      </c>
      <c r="N1204" s="340"/>
      <c r="O1204" s="477">
        <f t="shared" si="163"/>
        <v>3</v>
      </c>
      <c r="P1204" s="461"/>
      <c r="Q1204" s="340"/>
      <c r="R1204" s="462">
        <f t="shared" si="164"/>
        <v>3</v>
      </c>
      <c r="S1204" s="340" t="s">
        <v>164</v>
      </c>
      <c r="T1204" s="347">
        <v>15</v>
      </c>
      <c r="U1204" s="435" t="s">
        <v>605</v>
      </c>
      <c r="V1204" s="306">
        <f>V1208</f>
        <v>0</v>
      </c>
      <c r="W1204" s="175"/>
      <c r="X1204" s="175"/>
      <c r="Y1204" s="175"/>
      <c r="Z1204" s="175"/>
      <c r="AA1204" s="175"/>
    </row>
    <row r="1205" spans="1:27" s="176" customFormat="1">
      <c r="A1205" s="1110"/>
      <c r="B1205" s="296"/>
      <c r="C1205" s="339" t="s">
        <v>628</v>
      </c>
      <c r="D1205" s="496">
        <f>G1204</f>
        <v>14</v>
      </c>
      <c r="E1205" s="606" t="s">
        <v>299</v>
      </c>
      <c r="F1205" s="498">
        <f>I1204</f>
        <v>10</v>
      </c>
      <c r="G1205" s="533">
        <v>19</v>
      </c>
      <c r="H1205" s="649" t="s">
        <v>299</v>
      </c>
      <c r="I1205" s="545">
        <v>10</v>
      </c>
      <c r="J1205" s="434" t="s">
        <v>300</v>
      </c>
      <c r="K1205" s="434">
        <f t="shared" si="162"/>
        <v>100</v>
      </c>
      <c r="L1205" s="434">
        <f>4.4-3.4</f>
        <v>1.0000000000000004</v>
      </c>
      <c r="M1205" s="340">
        <v>0.05</v>
      </c>
      <c r="N1205" s="340"/>
      <c r="O1205" s="477">
        <f t="shared" si="163"/>
        <v>5</v>
      </c>
      <c r="P1205" s="461"/>
      <c r="Q1205" s="340"/>
      <c r="R1205" s="462">
        <f t="shared" si="164"/>
        <v>5</v>
      </c>
      <c r="S1205" s="340" t="s">
        <v>164</v>
      </c>
      <c r="T1205" s="347">
        <v>16</v>
      </c>
      <c r="U1205" s="435" t="s">
        <v>605</v>
      </c>
      <c r="V1205" s="306">
        <f>V1212</f>
        <v>77.28</v>
      </c>
      <c r="W1205" s="175"/>
      <c r="X1205" s="175"/>
      <c r="Y1205" s="175"/>
      <c r="Z1205" s="175"/>
      <c r="AA1205" s="175"/>
    </row>
    <row r="1206" spans="1:27" s="176" customFormat="1">
      <c r="A1206" s="1110"/>
      <c r="B1206" s="296"/>
      <c r="C1206" s="339" t="s">
        <v>628</v>
      </c>
      <c r="D1206" s="533">
        <v>19</v>
      </c>
      <c r="E1206" s="649" t="s">
        <v>299</v>
      </c>
      <c r="F1206" s="545">
        <v>10</v>
      </c>
      <c r="G1206" s="533">
        <v>22</v>
      </c>
      <c r="H1206" s="649" t="s">
        <v>299</v>
      </c>
      <c r="I1206" s="545">
        <v>10</v>
      </c>
      <c r="J1206" s="434" t="s">
        <v>300</v>
      </c>
      <c r="K1206" s="434">
        <f t="shared" si="162"/>
        <v>60</v>
      </c>
      <c r="L1206" s="434">
        <f>4.4-3.4</f>
        <v>1.0000000000000004</v>
      </c>
      <c r="M1206" s="340">
        <v>0.05</v>
      </c>
      <c r="N1206" s="340"/>
      <c r="O1206" s="477">
        <f t="shared" si="163"/>
        <v>3</v>
      </c>
      <c r="P1206" s="461"/>
      <c r="Q1206" s="340"/>
      <c r="R1206" s="462">
        <f t="shared" si="164"/>
        <v>3</v>
      </c>
      <c r="S1206" s="340" t="s">
        <v>164</v>
      </c>
      <c r="T1206" s="347">
        <v>17</v>
      </c>
      <c r="U1206" s="435" t="s">
        <v>605</v>
      </c>
      <c r="V1206" s="306">
        <f>V1213</f>
        <v>77.28</v>
      </c>
      <c r="W1206" s="175"/>
      <c r="X1206" s="175"/>
      <c r="Y1206" s="175"/>
      <c r="Z1206" s="175"/>
      <c r="AA1206" s="175"/>
    </row>
    <row r="1207" spans="1:27" s="176" customFormat="1">
      <c r="A1207" s="1110"/>
      <c r="B1207" s="296"/>
      <c r="C1207" s="339" t="s">
        <v>628</v>
      </c>
      <c r="D1207" s="533">
        <f>G1206</f>
        <v>22</v>
      </c>
      <c r="E1207" s="649" t="s">
        <v>299</v>
      </c>
      <c r="F1207" s="545">
        <f>I1206</f>
        <v>10</v>
      </c>
      <c r="G1207" s="533">
        <v>24</v>
      </c>
      <c r="H1207" s="649" t="s">
        <v>299</v>
      </c>
      <c r="I1207" s="545">
        <v>10</v>
      </c>
      <c r="J1207" s="434" t="s">
        <v>300</v>
      </c>
      <c r="K1207" s="434">
        <f t="shared" si="162"/>
        <v>40</v>
      </c>
      <c r="L1207" s="434">
        <f>4.4-3.4</f>
        <v>1.0000000000000004</v>
      </c>
      <c r="M1207" s="340">
        <v>0.05</v>
      </c>
      <c r="N1207" s="340"/>
      <c r="O1207" s="477">
        <f t="shared" si="163"/>
        <v>2</v>
      </c>
      <c r="P1207" s="461"/>
      <c r="Q1207" s="340"/>
      <c r="R1207" s="462">
        <f t="shared" si="164"/>
        <v>2</v>
      </c>
      <c r="S1207" s="340" t="s">
        <v>164</v>
      </c>
      <c r="T1207" s="347">
        <v>18</v>
      </c>
      <c r="U1207" s="435" t="s">
        <v>605</v>
      </c>
      <c r="V1207" s="306" t="e">
        <f ca="1">V1214</f>
        <v>#REF!</v>
      </c>
      <c r="W1207" s="175"/>
      <c r="X1207" s="175"/>
      <c r="Y1207" s="175"/>
      <c r="Z1207" s="175"/>
      <c r="AA1207" s="175"/>
    </row>
    <row r="1208" spans="1:27" s="176" customFormat="1">
      <c r="A1208" s="1110"/>
      <c r="B1208" s="296"/>
      <c r="C1208" s="339" t="s">
        <v>628</v>
      </c>
      <c r="D1208" s="496">
        <v>19</v>
      </c>
      <c r="E1208" s="606" t="s">
        <v>299</v>
      </c>
      <c r="F1208" s="498">
        <v>8</v>
      </c>
      <c r="G1208" s="496">
        <v>20</v>
      </c>
      <c r="H1208" s="606" t="s">
        <v>299</v>
      </c>
      <c r="I1208" s="498">
        <v>6</v>
      </c>
      <c r="J1208" s="434" t="s">
        <v>300</v>
      </c>
      <c r="K1208" s="434">
        <f t="shared" si="162"/>
        <v>18</v>
      </c>
      <c r="L1208" s="434">
        <f>4.4-3.4</f>
        <v>1.0000000000000004</v>
      </c>
      <c r="M1208" s="340">
        <v>0.05</v>
      </c>
      <c r="N1208" s="340"/>
      <c r="O1208" s="477">
        <f t="shared" si="163"/>
        <v>0.9</v>
      </c>
      <c r="P1208" s="461"/>
      <c r="Q1208" s="340"/>
      <c r="R1208" s="462">
        <f t="shared" si="164"/>
        <v>0.9</v>
      </c>
      <c r="S1208" s="340" t="s">
        <v>164</v>
      </c>
      <c r="T1208" s="347">
        <v>18</v>
      </c>
      <c r="U1208" s="435" t="s">
        <v>605</v>
      </c>
      <c r="V1208" s="306">
        <f>V1216</f>
        <v>0</v>
      </c>
      <c r="W1208" s="175"/>
      <c r="X1208" s="175"/>
      <c r="Y1208" s="175"/>
      <c r="Z1208" s="175"/>
      <c r="AA1208" s="175"/>
    </row>
    <row r="1209" spans="1:27" s="765" customFormat="1">
      <c r="A1209" s="1771"/>
      <c r="B1209" s="767"/>
      <c r="C1209" s="763" t="s">
        <v>1187</v>
      </c>
      <c r="D1209" s="1402">
        <v>11</v>
      </c>
      <c r="E1209" s="1403" t="s">
        <v>299</v>
      </c>
      <c r="F1209" s="1404">
        <v>10</v>
      </c>
      <c r="G1209" s="1402">
        <v>43</v>
      </c>
      <c r="H1209" s="1403" t="s">
        <v>299</v>
      </c>
      <c r="I1209" s="1404">
        <v>14</v>
      </c>
      <c r="J1209" s="439" t="s">
        <v>303</v>
      </c>
      <c r="K1209" s="1511">
        <f>SUM(G1209*20+I1209)-(D1209*20+F1209)</f>
        <v>644</v>
      </c>
      <c r="L1209" s="553"/>
      <c r="M1209" s="553">
        <v>0.12</v>
      </c>
      <c r="N1209" s="1512"/>
      <c r="O1209" s="553">
        <f>M1209*K1209</f>
        <v>77.28</v>
      </c>
      <c r="P1209" s="440"/>
      <c r="Q1209" s="439">
        <v>1</v>
      </c>
      <c r="R1209" s="454">
        <f>Q1209*O1209</f>
        <v>77.28</v>
      </c>
      <c r="S1209" s="438" t="s">
        <v>151</v>
      </c>
      <c r="T1209" s="874">
        <v>28</v>
      </c>
      <c r="U1209" s="1164" t="s">
        <v>1184</v>
      </c>
      <c r="V1209" s="713">
        <f>V1216</f>
        <v>0</v>
      </c>
      <c r="W1209" s="688"/>
      <c r="X1209" s="688"/>
      <c r="Y1209" s="688"/>
      <c r="Z1209" s="688"/>
      <c r="AA1209" s="688"/>
    </row>
    <row r="1210" spans="1:27" s="765" customFormat="1">
      <c r="A1210" s="1771"/>
      <c r="B1210" s="1172"/>
      <c r="C1210" s="1018"/>
      <c r="D1210" s="1212"/>
      <c r="E1210" s="2283"/>
      <c r="F1210" s="1726"/>
      <c r="G1210" s="2284"/>
      <c r="H1210" s="2283"/>
      <c r="I1210" s="1213"/>
      <c r="J1210" s="1492"/>
      <c r="K1210" s="1727"/>
      <c r="L1210" s="1408"/>
      <c r="M1210" s="1408"/>
      <c r="N1210" s="1494"/>
      <c r="O1210" s="1706"/>
      <c r="P1210" s="1706"/>
      <c r="Q1210" s="1215"/>
      <c r="R1210" s="1216"/>
      <c r="S1210" s="1174"/>
      <c r="T1210" s="1497"/>
      <c r="U1210" s="1206"/>
      <c r="V1210" s="713"/>
      <c r="W1210" s="688"/>
      <c r="X1210" s="688"/>
      <c r="Y1210" s="688"/>
      <c r="Z1210" s="688"/>
      <c r="AA1210" s="688"/>
    </row>
    <row r="1211" spans="1:27" s="40" customFormat="1">
      <c r="A1211" s="1775"/>
      <c r="B1211" s="645"/>
      <c r="C1211" s="1614"/>
      <c r="D1211" s="2548" t="s">
        <v>257</v>
      </c>
      <c r="E1211" s="2549"/>
      <c r="F1211" s="2549"/>
      <c r="G1211" s="2549"/>
      <c r="H1211" s="2549"/>
      <c r="I1211" s="2550"/>
      <c r="J1211" s="2490">
        <f>VLOOKUP(A1213,'11 - FINANCEIRA'!$A$16:$AE$156,30,FALSE)</f>
        <v>167.2</v>
      </c>
      <c r="K1211" s="2491"/>
      <c r="L1211" s="590" t="str">
        <f>VLOOKUP(A1213,'11 - FINANCEIRA'!_xlnm.Print_Area,4,FALSE)</f>
        <v>m³</v>
      </c>
      <c r="M1211" s="2561" t="s">
        <v>258</v>
      </c>
      <c r="N1211" s="2562"/>
      <c r="O1211" s="2562"/>
      <c r="P1211" s="2562"/>
      <c r="Q1211" s="2563"/>
      <c r="R1211" s="375">
        <f>SUM(R1203:R1209)</f>
        <v>132.21199999999999</v>
      </c>
      <c r="S1211" s="591" t="str">
        <f>L1211</f>
        <v>m³</v>
      </c>
      <c r="T1211" s="390"/>
      <c r="U1211" s="391"/>
      <c r="V1211" s="174">
        <f>V1212</f>
        <v>77.28</v>
      </c>
    </row>
    <row r="1212" spans="1:27" s="40" customFormat="1">
      <c r="A1212" s="1106"/>
      <c r="B1212" s="1350"/>
      <c r="C1212" s="1351"/>
      <c r="D1212" s="2505" t="s">
        <v>259</v>
      </c>
      <c r="E1212" s="2506"/>
      <c r="F1212" s="2506"/>
      <c r="G1212" s="2506"/>
      <c r="H1212" s="2506"/>
      <c r="I1212" s="2507"/>
      <c r="J1212" s="2511">
        <f>R1211/J1211</f>
        <v>0.79074162679425841</v>
      </c>
      <c r="K1212" s="2512"/>
      <c r="L1212" s="2559"/>
      <c r="M1212" s="2561" t="s">
        <v>260</v>
      </c>
      <c r="N1212" s="2562"/>
      <c r="O1212" s="2562"/>
      <c r="P1212" s="2562"/>
      <c r="Q1212" s="2563"/>
      <c r="R1212" s="375">
        <f>VLOOKUP(A1213,'11 - FINANCEIRA'!_xlnm.Print_Area,8,FALSE)</f>
        <v>54.931999999999995</v>
      </c>
      <c r="S1212" s="376" t="str">
        <f>L1211</f>
        <v>m³</v>
      </c>
      <c r="T1212" s="372"/>
      <c r="U1212" s="1227"/>
      <c r="V1212" s="174">
        <f>V1213</f>
        <v>77.28</v>
      </c>
    </row>
    <row r="1213" spans="1:27" s="40" customFormat="1">
      <c r="A1213" s="1106" t="s">
        <v>102</v>
      </c>
      <c r="B1213" s="647"/>
      <c r="C1213" s="1352"/>
      <c r="D1213" s="2551"/>
      <c r="E1213" s="2552"/>
      <c r="F1213" s="2552"/>
      <c r="G1213" s="2552"/>
      <c r="H1213" s="2552"/>
      <c r="I1213" s="2553"/>
      <c r="J1213" s="2530"/>
      <c r="K1213" s="2531"/>
      <c r="L1213" s="2560"/>
      <c r="M1213" s="2561" t="s">
        <v>261</v>
      </c>
      <c r="N1213" s="2562"/>
      <c r="O1213" s="2562"/>
      <c r="P1213" s="2562"/>
      <c r="Q1213" s="2563"/>
      <c r="R1213" s="375">
        <f>R1211-R1212</f>
        <v>77.28</v>
      </c>
      <c r="S1213" s="376" t="str">
        <f>L1211</f>
        <v>m³</v>
      </c>
      <c r="T1213" s="2081"/>
      <c r="U1213" s="1355"/>
      <c r="V1213" s="174">
        <f>R1213</f>
        <v>77.28</v>
      </c>
    </row>
    <row r="1214" spans="1:27" s="40" customFormat="1" hidden="1">
      <c r="A1214" s="1106"/>
      <c r="B1214" s="2071"/>
      <c r="C1214" s="2072"/>
      <c r="D1214" s="2073"/>
      <c r="E1214" s="2074"/>
      <c r="F1214" s="2073"/>
      <c r="G1214" s="2073"/>
      <c r="H1214" s="2073"/>
      <c r="I1214" s="2073"/>
      <c r="J1214" s="2075"/>
      <c r="K1214" s="2076"/>
      <c r="L1214" s="2077"/>
      <c r="M1214" s="2078"/>
      <c r="N1214" s="2078"/>
      <c r="O1214" s="2078"/>
      <c r="P1214" s="2078"/>
      <c r="Q1214" s="2078"/>
      <c r="R1214" s="2079"/>
      <c r="S1214" s="2080"/>
      <c r="T1214" s="2081"/>
      <c r="U1214" s="1355"/>
      <c r="V1214" s="265" t="e">
        <f ca="1">SUM(V1201:V1213)</f>
        <v>#REF!</v>
      </c>
    </row>
    <row r="1215" spans="1:27" s="40" customFormat="1" hidden="1">
      <c r="A1215" s="1106"/>
      <c r="B1215" s="380"/>
      <c r="C1215" s="381"/>
      <c r="D1215" s="382"/>
      <c r="E1215" s="383"/>
      <c r="F1215" s="382"/>
      <c r="G1215" s="382"/>
      <c r="H1215" s="382"/>
      <c r="I1215" s="382"/>
      <c r="J1215" s="384"/>
      <c r="K1215" s="385"/>
      <c r="L1215" s="386"/>
      <c r="M1215" s="387"/>
      <c r="N1215" s="387"/>
      <c r="O1215" s="387"/>
      <c r="P1215" s="387"/>
      <c r="Q1215" s="387"/>
      <c r="R1215" s="388"/>
      <c r="S1215" s="389"/>
      <c r="T1215" s="390"/>
      <c r="U1215" s="391"/>
      <c r="V1215" s="265"/>
    </row>
    <row r="1216" spans="1:27" s="176" customFormat="1">
      <c r="A1216" s="1106"/>
      <c r="B1216" s="2494">
        <f>VLOOKUP(A1248,'11 - FINANCEIRA'!_xlnm.Print_Area,2,FALSE)</f>
        <v>96541</v>
      </c>
      <c r="C1216" s="2501" t="str">
        <f>VLOOKUP(A1248,'11 - FINANCEIRA'!_xlnm.Print_Area,3,FALSE)</f>
        <v>Fabricação, montagem e desmontagem de forma em chapa de madeira compensada resinada, E= 17mm</v>
      </c>
      <c r="D1216" s="2581" t="s">
        <v>242</v>
      </c>
      <c r="E1216" s="2582"/>
      <c r="F1216" s="2582"/>
      <c r="G1216" s="2582"/>
      <c r="H1216" s="2582"/>
      <c r="I1216" s="2583"/>
      <c r="J1216" s="2467" t="s">
        <v>243</v>
      </c>
      <c r="K1216" s="2496" t="s">
        <v>244</v>
      </c>
      <c r="L1216" s="2598" t="s">
        <v>245</v>
      </c>
      <c r="M1216" s="2496" t="s">
        <v>246</v>
      </c>
      <c r="N1216" s="2496" t="s">
        <v>247</v>
      </c>
      <c r="O1216" s="2496" t="s">
        <v>248</v>
      </c>
      <c r="P1216" s="2496" t="s">
        <v>386</v>
      </c>
      <c r="Q1216" s="2577" t="s">
        <v>139</v>
      </c>
      <c r="R1216" s="2577" t="s">
        <v>139</v>
      </c>
      <c r="S1216" s="2496" t="s">
        <v>251</v>
      </c>
      <c r="T1216" s="2496" t="s">
        <v>252</v>
      </c>
      <c r="U1216" s="2586" t="s">
        <v>253</v>
      </c>
      <c r="V1216" s="306">
        <f t="shared" ref="V1216:V1223" si="165">V1217</f>
        <v>0</v>
      </c>
      <c r="W1216" s="175"/>
      <c r="X1216" s="175"/>
      <c r="Y1216" s="175"/>
      <c r="Z1216" s="175"/>
      <c r="AA1216" s="175"/>
    </row>
    <row r="1217" spans="1:27" s="176" customFormat="1">
      <c r="A1217" s="1106"/>
      <c r="B1217" s="2495"/>
      <c r="C1217" s="2502"/>
      <c r="D1217" s="2588" t="s">
        <v>254</v>
      </c>
      <c r="E1217" s="2589"/>
      <c r="F1217" s="2590"/>
      <c r="G1217" s="2591" t="s">
        <v>255</v>
      </c>
      <c r="H1217" s="2592"/>
      <c r="I1217" s="2593"/>
      <c r="J1217" s="2468"/>
      <c r="K1217" s="2497"/>
      <c r="L1217" s="2599"/>
      <c r="M1217" s="2497"/>
      <c r="N1217" s="2497"/>
      <c r="O1217" s="2497"/>
      <c r="P1217" s="2497"/>
      <c r="Q1217" s="2578"/>
      <c r="R1217" s="2578"/>
      <c r="S1217" s="2497"/>
      <c r="T1217" s="2497"/>
      <c r="U1217" s="2587"/>
      <c r="V1217" s="306">
        <f t="shared" si="165"/>
        <v>0</v>
      </c>
      <c r="W1217" s="175"/>
      <c r="X1217" s="175"/>
      <c r="Y1217" s="175"/>
      <c r="Z1217" s="175"/>
      <c r="AA1217" s="175"/>
    </row>
    <row r="1218" spans="1:27" s="176" customFormat="1">
      <c r="A1218" s="1110"/>
      <c r="B1218" s="609"/>
      <c r="C1218" s="266" t="s">
        <v>387</v>
      </c>
      <c r="D1218" s="469">
        <v>0</v>
      </c>
      <c r="E1218" s="605" t="s">
        <v>299</v>
      </c>
      <c r="F1218" s="471">
        <v>14.04</v>
      </c>
      <c r="G1218" s="469">
        <v>11</v>
      </c>
      <c r="H1218" s="605" t="s">
        <v>299</v>
      </c>
      <c r="I1218" s="471">
        <v>10</v>
      </c>
      <c r="J1218" s="489" t="s">
        <v>300</v>
      </c>
      <c r="K1218" s="489">
        <f>SUM(G1218*20+I1218)-(D1218*20+F1218)</f>
        <v>215.96</v>
      </c>
      <c r="L1218" s="548">
        <v>0.2</v>
      </c>
      <c r="M1218" s="411"/>
      <c r="N1218" s="483">
        <f>K1218*L1218</f>
        <v>43.192000000000007</v>
      </c>
      <c r="O1218" s="275"/>
      <c r="P1218" s="338"/>
      <c r="Q1218" s="489">
        <v>2</v>
      </c>
      <c r="R1218" s="450">
        <f>TRUNC(N1218*Q1218,3)</f>
        <v>86.384</v>
      </c>
      <c r="S1218" s="275" t="s">
        <v>151</v>
      </c>
      <c r="T1218" s="276">
        <v>6</v>
      </c>
      <c r="U1218" s="1555"/>
      <c r="V1218" s="306">
        <f t="shared" si="165"/>
        <v>0</v>
      </c>
      <c r="W1218" s="175"/>
      <c r="X1218" s="175"/>
      <c r="Y1218" s="175"/>
      <c r="Z1218" s="175"/>
      <c r="AA1218" s="175"/>
    </row>
    <row r="1219" spans="1:27" s="176" customFormat="1">
      <c r="A1219" s="1110"/>
      <c r="B1219" s="610"/>
      <c r="C1219" s="547" t="s">
        <v>552</v>
      </c>
      <c r="D1219" s="611"/>
      <c r="E1219" s="612"/>
      <c r="F1219" s="565"/>
      <c r="G1219" s="613"/>
      <c r="H1219" s="612"/>
      <c r="I1219" s="433"/>
      <c r="J1219" s="546" t="s">
        <v>300</v>
      </c>
      <c r="K1219" s="611">
        <v>3.4</v>
      </c>
      <c r="L1219" s="614">
        <v>0.2</v>
      </c>
      <c r="M1219" s="434">
        <v>1</v>
      </c>
      <c r="N1219" s="615">
        <f>SUM(K1219+M1219)*2*L1219</f>
        <v>1.7600000000000002</v>
      </c>
      <c r="O1219" s="353"/>
      <c r="P1219" s="350"/>
      <c r="Q1219" s="546">
        <v>1</v>
      </c>
      <c r="R1219" s="616">
        <f>TRUNC(N1219*Q1219,3)</f>
        <v>1.76</v>
      </c>
      <c r="S1219" s="340" t="s">
        <v>151</v>
      </c>
      <c r="T1219" s="347">
        <v>6</v>
      </c>
      <c r="U1219" s="559" t="s">
        <v>388</v>
      </c>
      <c r="V1219" s="306">
        <f t="shared" si="165"/>
        <v>0</v>
      </c>
      <c r="W1219" s="175"/>
      <c r="X1219" s="175"/>
      <c r="Y1219" s="175"/>
      <c r="Z1219" s="175"/>
      <c r="AA1219" s="175"/>
    </row>
    <row r="1220" spans="1:27" s="176" customFormat="1">
      <c r="A1220" s="1110"/>
      <c r="B1220" s="296"/>
      <c r="C1220" s="547" t="s">
        <v>553</v>
      </c>
      <c r="D1220" s="611"/>
      <c r="E1220" s="612"/>
      <c r="F1220" s="565"/>
      <c r="G1220" s="613"/>
      <c r="H1220" s="612"/>
      <c r="I1220" s="433"/>
      <c r="J1220" s="546" t="s">
        <v>300</v>
      </c>
      <c r="K1220" s="611">
        <v>3.4</v>
      </c>
      <c r="L1220" s="614">
        <v>1</v>
      </c>
      <c r="M1220" s="434">
        <v>1</v>
      </c>
      <c r="N1220" s="615">
        <f>SUM(K1220*L1220)*Q1220</f>
        <v>3.4</v>
      </c>
      <c r="O1220" s="353"/>
      <c r="P1220" s="350"/>
      <c r="Q1220" s="546">
        <v>1</v>
      </c>
      <c r="R1220" s="462">
        <f>TRUNC(N1220*Q1220,3)</f>
        <v>3.4</v>
      </c>
      <c r="S1220" s="340" t="s">
        <v>151</v>
      </c>
      <c r="T1220" s="347">
        <v>6</v>
      </c>
      <c r="U1220" s="559" t="s">
        <v>388</v>
      </c>
      <c r="V1220" s="306">
        <f t="shared" si="165"/>
        <v>0</v>
      </c>
      <c r="W1220" s="175"/>
      <c r="X1220" s="175"/>
      <c r="Y1220" s="175"/>
      <c r="Z1220" s="175"/>
      <c r="AA1220" s="175"/>
    </row>
    <row r="1221" spans="1:27" s="176" customFormat="1">
      <c r="A1221" s="1110"/>
      <c r="B1221" s="296"/>
      <c r="C1221" s="339" t="s">
        <v>552</v>
      </c>
      <c r="D1221" s="496"/>
      <c r="E1221" s="606"/>
      <c r="F1221" s="498"/>
      <c r="G1221" s="496"/>
      <c r="H1221" s="606"/>
      <c r="I1221" s="498"/>
      <c r="J1221" s="434" t="s">
        <v>300</v>
      </c>
      <c r="K1221" s="496">
        <v>3.4</v>
      </c>
      <c r="L1221" s="558">
        <v>0.2</v>
      </c>
      <c r="M1221" s="498">
        <v>1</v>
      </c>
      <c r="N1221" s="617">
        <v>1.7600000000000002</v>
      </c>
      <c r="O1221" s="560"/>
      <c r="P1221" s="461"/>
      <c r="Q1221" s="498">
        <v>1</v>
      </c>
      <c r="R1221" s="462">
        <v>-1.76</v>
      </c>
      <c r="S1221" s="340" t="s">
        <v>151</v>
      </c>
      <c r="T1221" s="347">
        <v>7</v>
      </c>
      <c r="U1221" s="435" t="s">
        <v>389</v>
      </c>
      <c r="V1221" s="306">
        <f t="shared" si="165"/>
        <v>0</v>
      </c>
      <c r="W1221" s="175"/>
      <c r="X1221" s="175"/>
      <c r="Y1221" s="175"/>
      <c r="Z1221" s="175"/>
      <c r="AA1221" s="175"/>
    </row>
    <row r="1222" spans="1:27" s="176" customFormat="1">
      <c r="A1222" s="1110"/>
      <c r="B1222" s="296"/>
      <c r="C1222" s="547" t="s">
        <v>553</v>
      </c>
      <c r="D1222" s="611"/>
      <c r="E1222" s="612"/>
      <c r="F1222" s="565"/>
      <c r="G1222" s="611"/>
      <c r="H1222" s="612"/>
      <c r="I1222" s="565"/>
      <c r="J1222" s="546" t="s">
        <v>300</v>
      </c>
      <c r="K1222" s="611">
        <v>3.4</v>
      </c>
      <c r="L1222" s="614">
        <v>1</v>
      </c>
      <c r="M1222" s="565">
        <v>1</v>
      </c>
      <c r="N1222" s="615">
        <v>3.4</v>
      </c>
      <c r="O1222" s="618"/>
      <c r="P1222" s="619"/>
      <c r="Q1222" s="565">
        <v>1</v>
      </c>
      <c r="R1222" s="616">
        <v>-3.4</v>
      </c>
      <c r="S1222" s="357" t="s">
        <v>151</v>
      </c>
      <c r="T1222" s="355">
        <v>7</v>
      </c>
      <c r="U1222" s="435" t="s">
        <v>389</v>
      </c>
      <c r="V1222" s="306">
        <f t="shared" si="165"/>
        <v>0</v>
      </c>
      <c r="W1222" s="175"/>
      <c r="X1222" s="175"/>
      <c r="Y1222" s="175"/>
      <c r="Z1222" s="175"/>
      <c r="AA1222" s="175"/>
    </row>
    <row r="1223" spans="1:27" s="176" customFormat="1">
      <c r="A1223" s="1110"/>
      <c r="B1223" s="610"/>
      <c r="C1223" s="547" t="s">
        <v>387</v>
      </c>
      <c r="D1223" s="611">
        <v>0</v>
      </c>
      <c r="E1223" s="612" t="s">
        <v>299</v>
      </c>
      <c r="F1223" s="565">
        <v>14.04</v>
      </c>
      <c r="G1223" s="611">
        <v>11</v>
      </c>
      <c r="H1223" s="612" t="s">
        <v>299</v>
      </c>
      <c r="I1223" s="565">
        <v>10</v>
      </c>
      <c r="J1223" s="546" t="s">
        <v>300</v>
      </c>
      <c r="K1223" s="546">
        <f>SUM(G1223*20+I1223)-(D1223*20+F1223)</f>
        <v>215.96</v>
      </c>
      <c r="L1223" s="614">
        <v>0.03</v>
      </c>
      <c r="M1223" s="357"/>
      <c r="N1223" s="834">
        <f>K1223*L1223</f>
        <v>6.4787999999999997</v>
      </c>
      <c r="O1223" s="357"/>
      <c r="P1223" s="619"/>
      <c r="Q1223" s="546">
        <v>2</v>
      </c>
      <c r="R1223" s="616">
        <f>TRUNC(N1223*Q1223,3)*-1</f>
        <v>-12.957000000000001</v>
      </c>
      <c r="S1223" s="357" t="s">
        <v>151</v>
      </c>
      <c r="T1223" s="355">
        <v>7</v>
      </c>
      <c r="U1223" s="559" t="s">
        <v>389</v>
      </c>
      <c r="V1223" s="306">
        <f t="shared" si="165"/>
        <v>0</v>
      </c>
      <c r="W1223" s="175"/>
      <c r="X1223" s="175"/>
      <c r="Y1223" s="175"/>
      <c r="Z1223" s="175"/>
      <c r="AA1223" s="175"/>
    </row>
    <row r="1224" spans="1:27" s="176" customFormat="1" ht="30">
      <c r="A1224" s="1110"/>
      <c r="B1224" s="296"/>
      <c r="C1224" s="339" t="s">
        <v>604</v>
      </c>
      <c r="D1224" s="496">
        <v>9</v>
      </c>
      <c r="E1224" s="606" t="s">
        <v>299</v>
      </c>
      <c r="F1224" s="498">
        <v>0</v>
      </c>
      <c r="G1224" s="496">
        <v>9</v>
      </c>
      <c r="H1224" s="606" t="s">
        <v>299</v>
      </c>
      <c r="I1224" s="498">
        <v>0</v>
      </c>
      <c r="J1224" s="546" t="s">
        <v>300</v>
      </c>
      <c r="K1224" s="546">
        <f>SUM(8.15+8.15)/2</f>
        <v>8.15</v>
      </c>
      <c r="L1224" s="558">
        <f>SUM(11.6+10.85)/2</f>
        <v>11.225</v>
      </c>
      <c r="M1224" s="1166">
        <v>0.12</v>
      </c>
      <c r="N1224" s="834">
        <f>SUM(K1224+L1224)*2*M1224</f>
        <v>4.6499999999999995</v>
      </c>
      <c r="O1224" s="340"/>
      <c r="P1224" s="461"/>
      <c r="Q1224" s="434"/>
      <c r="R1224" s="616">
        <f>N1224</f>
        <v>4.6499999999999995</v>
      </c>
      <c r="S1224" s="357" t="s">
        <v>151</v>
      </c>
      <c r="T1224" s="347">
        <v>15</v>
      </c>
      <c r="U1224" s="435" t="s">
        <v>608</v>
      </c>
      <c r="V1224" s="306"/>
      <c r="W1224" s="175"/>
      <c r="X1224" s="175"/>
      <c r="Y1224" s="175"/>
      <c r="Z1224" s="175"/>
      <c r="AA1224" s="175"/>
    </row>
    <row r="1225" spans="1:27" s="176" customFormat="1">
      <c r="A1225" s="1110"/>
      <c r="B1225" s="296"/>
      <c r="C1225" s="343" t="s">
        <v>606</v>
      </c>
      <c r="D1225" s="844">
        <f>G1218</f>
        <v>11</v>
      </c>
      <c r="E1225" s="606" t="s">
        <v>299</v>
      </c>
      <c r="F1225" s="816">
        <f>I1218</f>
        <v>10</v>
      </c>
      <c r="G1225" s="844">
        <f>G1204</f>
        <v>14</v>
      </c>
      <c r="H1225" s="845" t="s">
        <v>299</v>
      </c>
      <c r="I1225" s="816">
        <f>I1204</f>
        <v>10</v>
      </c>
      <c r="J1225" s="546" t="s">
        <v>300</v>
      </c>
      <c r="K1225" s="434">
        <f t="shared" ref="K1225:K1232" si="166">SUM(G1225*20+I1225)-(D1225*20+F1225)</f>
        <v>60</v>
      </c>
      <c r="L1225" s="558"/>
      <c r="M1225" s="1167">
        <v>0.2</v>
      </c>
      <c r="N1225" s="477">
        <f>K1225*M1225</f>
        <v>12</v>
      </c>
      <c r="O1225" s="392"/>
      <c r="P1225" s="955"/>
      <c r="Q1225" s="650">
        <v>2</v>
      </c>
      <c r="R1225" s="462">
        <f>TRUNC(N1225*Q1225,3)</f>
        <v>24</v>
      </c>
      <c r="S1225" s="340" t="s">
        <v>151</v>
      </c>
      <c r="T1225" s="347">
        <v>15</v>
      </c>
      <c r="U1225" s="508" t="s">
        <v>607</v>
      </c>
      <c r="V1225" s="306"/>
      <c r="W1225" s="175"/>
      <c r="X1225" s="175"/>
      <c r="Y1225" s="175"/>
      <c r="Z1225" s="175"/>
      <c r="AA1225" s="175"/>
    </row>
    <row r="1226" spans="1:27" s="176" customFormat="1">
      <c r="A1226" s="1110"/>
      <c r="B1226" s="296"/>
      <c r="C1226" s="343" t="s">
        <v>609</v>
      </c>
      <c r="D1226" s="844">
        <v>11</v>
      </c>
      <c r="E1226" s="606" t="s">
        <v>299</v>
      </c>
      <c r="F1226" s="816">
        <v>10</v>
      </c>
      <c r="G1226" s="844">
        <v>14</v>
      </c>
      <c r="H1226" s="845" t="s">
        <v>299</v>
      </c>
      <c r="I1226" s="816">
        <v>10</v>
      </c>
      <c r="J1226" s="546" t="s">
        <v>300</v>
      </c>
      <c r="K1226" s="434">
        <f t="shared" si="166"/>
        <v>60</v>
      </c>
      <c r="L1226" s="558">
        <v>4.4000000000000004</v>
      </c>
      <c r="M1226" s="1167">
        <v>0.2</v>
      </c>
      <c r="N1226" s="477">
        <f>L1226*M1226</f>
        <v>0.88000000000000012</v>
      </c>
      <c r="O1226" s="392"/>
      <c r="P1226" s="955"/>
      <c r="Q1226" s="650">
        <f>K1225/6</f>
        <v>10</v>
      </c>
      <c r="R1226" s="462">
        <f>N1226*Q1226</f>
        <v>8.8000000000000007</v>
      </c>
      <c r="S1226" s="340" t="s">
        <v>151</v>
      </c>
      <c r="T1226" s="819"/>
      <c r="U1226" s="508"/>
      <c r="V1226" s="306"/>
      <c r="W1226" s="175"/>
      <c r="X1226" s="175"/>
      <c r="Y1226" s="175"/>
      <c r="Z1226" s="175"/>
      <c r="AA1226" s="175"/>
    </row>
    <row r="1227" spans="1:27" s="176" customFormat="1">
      <c r="A1227" s="1110"/>
      <c r="B1227" s="296"/>
      <c r="C1227" s="343" t="s">
        <v>606</v>
      </c>
      <c r="D1227" s="844">
        <v>14</v>
      </c>
      <c r="E1227" s="606" t="s">
        <v>299</v>
      </c>
      <c r="F1227" s="816">
        <v>10</v>
      </c>
      <c r="G1227" s="844">
        <v>19</v>
      </c>
      <c r="H1227" s="845" t="s">
        <v>299</v>
      </c>
      <c r="I1227" s="816">
        <v>10</v>
      </c>
      <c r="J1227" s="546" t="s">
        <v>300</v>
      </c>
      <c r="K1227" s="434">
        <f t="shared" si="166"/>
        <v>100</v>
      </c>
      <c r="L1227" s="558"/>
      <c r="M1227" s="1167">
        <v>0.2</v>
      </c>
      <c r="N1227" s="477">
        <f>K1227*M1227</f>
        <v>20</v>
      </c>
      <c r="O1227" s="392"/>
      <c r="P1227" s="955"/>
      <c r="Q1227" s="650">
        <v>2</v>
      </c>
      <c r="R1227" s="462">
        <f>TRUNC(N1227*Q1227,3)</f>
        <v>40</v>
      </c>
      <c r="S1227" s="340" t="s">
        <v>151</v>
      </c>
      <c r="T1227" s="347">
        <v>16</v>
      </c>
      <c r="U1227" s="508" t="s">
        <v>607</v>
      </c>
      <c r="V1227" s="306"/>
      <c r="W1227" s="175"/>
      <c r="X1227" s="175"/>
      <c r="Y1227" s="175"/>
      <c r="Z1227" s="175"/>
      <c r="AA1227" s="175"/>
    </row>
    <row r="1228" spans="1:27" s="176" customFormat="1">
      <c r="A1228" s="1110"/>
      <c r="B1228" s="296"/>
      <c r="C1228" s="343" t="s">
        <v>609</v>
      </c>
      <c r="D1228" s="844">
        <v>14</v>
      </c>
      <c r="E1228" s="606" t="s">
        <v>299</v>
      </c>
      <c r="F1228" s="816">
        <v>10</v>
      </c>
      <c r="G1228" s="844">
        <v>19</v>
      </c>
      <c r="H1228" s="845" t="s">
        <v>299</v>
      </c>
      <c r="I1228" s="816">
        <v>10</v>
      </c>
      <c r="J1228" s="546" t="s">
        <v>300</v>
      </c>
      <c r="K1228" s="434">
        <f t="shared" si="166"/>
        <v>100</v>
      </c>
      <c r="L1228" s="558">
        <v>4.4000000000000004</v>
      </c>
      <c r="M1228" s="1167">
        <v>0.2</v>
      </c>
      <c r="N1228" s="477">
        <f>L1228*M1228</f>
        <v>0.88000000000000012</v>
      </c>
      <c r="O1228" s="392"/>
      <c r="P1228" s="955"/>
      <c r="Q1228" s="650">
        <f>K1227/6</f>
        <v>16.666666666666668</v>
      </c>
      <c r="R1228" s="462">
        <f>N1228*Q1228</f>
        <v>14.66666666666667</v>
      </c>
      <c r="S1228" s="340" t="s">
        <v>151</v>
      </c>
      <c r="T1228" s="819">
        <v>16</v>
      </c>
      <c r="U1228" s="508" t="s">
        <v>607</v>
      </c>
      <c r="V1228" s="306"/>
      <c r="W1228" s="175"/>
      <c r="X1228" s="175"/>
      <c r="Y1228" s="175"/>
      <c r="Z1228" s="175"/>
      <c r="AA1228" s="175"/>
    </row>
    <row r="1229" spans="1:27" s="176" customFormat="1">
      <c r="A1229" s="1110"/>
      <c r="B1229" s="296"/>
      <c r="C1229" s="343" t="s">
        <v>606</v>
      </c>
      <c r="D1229" s="844">
        <v>19</v>
      </c>
      <c r="E1229" s="606" t="s">
        <v>299</v>
      </c>
      <c r="F1229" s="816">
        <v>10</v>
      </c>
      <c r="G1229" s="844">
        <v>22</v>
      </c>
      <c r="H1229" s="845" t="s">
        <v>299</v>
      </c>
      <c r="I1229" s="816">
        <v>10</v>
      </c>
      <c r="J1229" s="546" t="s">
        <v>300</v>
      </c>
      <c r="K1229" s="434">
        <f t="shared" si="166"/>
        <v>60</v>
      </c>
      <c r="L1229" s="558"/>
      <c r="M1229" s="1167">
        <v>0.2</v>
      </c>
      <c r="N1229" s="477">
        <f>K1229*M1229</f>
        <v>12</v>
      </c>
      <c r="O1229" s="392"/>
      <c r="P1229" s="955"/>
      <c r="Q1229" s="650">
        <v>2</v>
      </c>
      <c r="R1229" s="462">
        <f>TRUNC(N1229*Q1229,3)</f>
        <v>24</v>
      </c>
      <c r="S1229" s="340" t="s">
        <v>151</v>
      </c>
      <c r="T1229" s="347">
        <v>17</v>
      </c>
      <c r="U1229" s="508" t="s">
        <v>607</v>
      </c>
      <c r="V1229" s="306"/>
      <c r="W1229" s="175"/>
      <c r="X1229" s="175"/>
      <c r="Y1229" s="175"/>
      <c r="Z1229" s="175"/>
      <c r="AA1229" s="175"/>
    </row>
    <row r="1230" spans="1:27" s="176" customFormat="1">
      <c r="A1230" s="1110"/>
      <c r="B1230" s="296"/>
      <c r="C1230" s="343" t="s">
        <v>606</v>
      </c>
      <c r="D1230" s="844">
        <v>19</v>
      </c>
      <c r="E1230" s="606" t="s">
        <v>299</v>
      </c>
      <c r="F1230" s="816">
        <v>10</v>
      </c>
      <c r="G1230" s="844">
        <v>22</v>
      </c>
      <c r="H1230" s="845" t="s">
        <v>299</v>
      </c>
      <c r="I1230" s="816">
        <v>10</v>
      </c>
      <c r="J1230" s="546" t="s">
        <v>300</v>
      </c>
      <c r="K1230" s="434">
        <f t="shared" si="166"/>
        <v>60</v>
      </c>
      <c r="L1230" s="558"/>
      <c r="M1230" s="1167">
        <v>0.2</v>
      </c>
      <c r="N1230" s="477">
        <f>K1230*M1230</f>
        <v>12</v>
      </c>
      <c r="O1230" s="392"/>
      <c r="P1230" s="955"/>
      <c r="Q1230" s="650">
        <v>2</v>
      </c>
      <c r="R1230" s="462">
        <f>TRUNC(N1230*Q1230,3)</f>
        <v>24</v>
      </c>
      <c r="S1230" s="340" t="s">
        <v>151</v>
      </c>
      <c r="T1230" s="347">
        <v>17</v>
      </c>
      <c r="U1230" s="508" t="s">
        <v>607</v>
      </c>
      <c r="V1230" s="306"/>
      <c r="W1230" s="175"/>
      <c r="X1230" s="175"/>
      <c r="Y1230" s="175"/>
      <c r="Z1230" s="175"/>
      <c r="AA1230" s="175"/>
    </row>
    <row r="1231" spans="1:27" s="176" customFormat="1">
      <c r="A1231" s="1110"/>
      <c r="B1231" s="296"/>
      <c r="C1231" s="343" t="s">
        <v>606</v>
      </c>
      <c r="D1231" s="844">
        <f>G1229</f>
        <v>22</v>
      </c>
      <c r="E1231" s="606" t="s">
        <v>299</v>
      </c>
      <c r="F1231" s="816">
        <f>I1229</f>
        <v>10</v>
      </c>
      <c r="G1231" s="844">
        <f>G1207</f>
        <v>24</v>
      </c>
      <c r="H1231" s="845" t="s">
        <v>299</v>
      </c>
      <c r="I1231" s="816">
        <f>I1207</f>
        <v>10</v>
      </c>
      <c r="J1231" s="546" t="s">
        <v>300</v>
      </c>
      <c r="K1231" s="434">
        <f t="shared" si="166"/>
        <v>40</v>
      </c>
      <c r="L1231" s="558"/>
      <c r="M1231" s="1167">
        <v>0.2</v>
      </c>
      <c r="N1231" s="477">
        <f>K1231*M1231</f>
        <v>8</v>
      </c>
      <c r="O1231" s="392"/>
      <c r="P1231" s="955"/>
      <c r="Q1231" s="650">
        <v>2</v>
      </c>
      <c r="R1231" s="462">
        <f>TRUNC(N1231*Q1231,3)</f>
        <v>16</v>
      </c>
      <c r="S1231" s="340" t="s">
        <v>151</v>
      </c>
      <c r="T1231" s="347">
        <v>18</v>
      </c>
      <c r="U1231" s="508" t="s">
        <v>607</v>
      </c>
      <c r="V1231" s="306"/>
      <c r="W1231" s="175"/>
      <c r="X1231" s="175"/>
      <c r="Y1231" s="175"/>
      <c r="Z1231" s="175"/>
      <c r="AA1231" s="175"/>
    </row>
    <row r="1232" spans="1:27" s="176" customFormat="1">
      <c r="A1232" s="1110"/>
      <c r="B1232" s="296"/>
      <c r="C1232" s="339" t="s">
        <v>609</v>
      </c>
      <c r="D1232" s="496">
        <f>G1230</f>
        <v>22</v>
      </c>
      <c r="E1232" s="606" t="s">
        <v>299</v>
      </c>
      <c r="F1232" s="498">
        <f>I1230</f>
        <v>10</v>
      </c>
      <c r="G1232" s="496">
        <f>G1231</f>
        <v>24</v>
      </c>
      <c r="H1232" s="606" t="s">
        <v>299</v>
      </c>
      <c r="I1232" s="498">
        <f>I1231</f>
        <v>10</v>
      </c>
      <c r="J1232" s="434" t="s">
        <v>300</v>
      </c>
      <c r="K1232" s="434">
        <f t="shared" si="166"/>
        <v>40</v>
      </c>
      <c r="L1232" s="558">
        <v>4.4000000000000004</v>
      </c>
      <c r="M1232" s="1168">
        <v>0.2</v>
      </c>
      <c r="N1232" s="477">
        <f>L1232*M1232</f>
        <v>0.88000000000000012</v>
      </c>
      <c r="O1232" s="340"/>
      <c r="P1232" s="461"/>
      <c r="Q1232" s="434">
        <v>7</v>
      </c>
      <c r="R1232" s="462">
        <f>N1232*Q1232</f>
        <v>6.160000000000001</v>
      </c>
      <c r="S1232" s="340" t="s">
        <v>151</v>
      </c>
      <c r="T1232" s="347">
        <v>18</v>
      </c>
      <c r="U1232" s="435" t="s">
        <v>607</v>
      </c>
      <c r="V1232" s="306"/>
      <c r="W1232" s="175"/>
      <c r="X1232" s="175"/>
      <c r="Y1232" s="175"/>
      <c r="Z1232" s="175"/>
      <c r="AA1232" s="175"/>
    </row>
    <row r="1233" spans="1:27" s="176" customFormat="1">
      <c r="A1233" s="1110"/>
      <c r="B1233" s="296"/>
      <c r="C1233" s="343" t="s">
        <v>811</v>
      </c>
      <c r="D1233" s="496">
        <v>19</v>
      </c>
      <c r="E1233" s="606" t="s">
        <v>299</v>
      </c>
      <c r="F1233" s="498">
        <v>8</v>
      </c>
      <c r="G1233" s="496">
        <v>20</v>
      </c>
      <c r="H1233" s="606" t="s">
        <v>299</v>
      </c>
      <c r="I1233" s="498">
        <v>6</v>
      </c>
      <c r="J1233" s="434" t="s">
        <v>300</v>
      </c>
      <c r="K1233" s="434">
        <f>(G1233-D1233)*20+I1233-F1233</f>
        <v>18</v>
      </c>
      <c r="L1233" s="434">
        <v>4.4000000000000004</v>
      </c>
      <c r="M1233" s="1166">
        <v>0.2</v>
      </c>
      <c r="N1233" s="477">
        <f>K1233*M1233</f>
        <v>3.6</v>
      </c>
      <c r="O1233" s="477"/>
      <c r="P1233" s="461"/>
      <c r="Q1233" s="434">
        <v>2</v>
      </c>
      <c r="R1233" s="462">
        <f>N1233*Q1233</f>
        <v>7.2</v>
      </c>
      <c r="S1233" s="340" t="s">
        <v>164</v>
      </c>
      <c r="T1233" s="347">
        <v>21</v>
      </c>
      <c r="U1233" s="435" t="s">
        <v>783</v>
      </c>
      <c r="V1233" s="306">
        <f>V1250</f>
        <v>0</v>
      </c>
      <c r="W1233" s="175"/>
      <c r="X1233" s="175"/>
      <c r="Y1233" s="175"/>
      <c r="Z1233" s="175"/>
      <c r="AA1233" s="175"/>
    </row>
    <row r="1234" spans="1:27" s="176" customFormat="1">
      <c r="A1234" s="1110"/>
      <c r="B1234" s="296"/>
      <c r="C1234" s="339" t="s">
        <v>810</v>
      </c>
      <c r="D1234" s="496">
        <v>19</v>
      </c>
      <c r="E1234" s="606" t="s">
        <v>299</v>
      </c>
      <c r="F1234" s="498">
        <v>8</v>
      </c>
      <c r="G1234" s="496">
        <v>20</v>
      </c>
      <c r="H1234" s="606" t="s">
        <v>299</v>
      </c>
      <c r="I1234" s="498">
        <v>6</v>
      </c>
      <c r="J1234" s="434" t="s">
        <v>300</v>
      </c>
      <c r="K1234" s="434">
        <f>(G1234-D1234)*20+I1234-F1234</f>
        <v>18</v>
      </c>
      <c r="L1234" s="434">
        <v>4.4000000000000004</v>
      </c>
      <c r="M1234" s="1166">
        <v>0.2</v>
      </c>
      <c r="N1234" s="477">
        <f>L1234*M1234</f>
        <v>0.88000000000000012</v>
      </c>
      <c r="O1234" s="477"/>
      <c r="P1234" s="461"/>
      <c r="Q1234" s="434">
        <f>K1234/6</f>
        <v>3</v>
      </c>
      <c r="R1234" s="462">
        <f>N1234*Q1234</f>
        <v>2.6400000000000006</v>
      </c>
      <c r="S1234" s="340" t="s">
        <v>164</v>
      </c>
      <c r="T1234" s="347">
        <v>21</v>
      </c>
      <c r="U1234" s="435" t="s">
        <v>784</v>
      </c>
      <c r="V1234" s="306">
        <f>V1251</f>
        <v>0</v>
      </c>
      <c r="W1234" s="175"/>
      <c r="X1234" s="175"/>
      <c r="Y1234" s="175"/>
      <c r="Z1234" s="175"/>
      <c r="AA1234" s="175"/>
    </row>
    <row r="1235" spans="1:27" s="176" customFormat="1">
      <c r="A1235" s="1110"/>
      <c r="B1235" s="296"/>
      <c r="C1235" s="1081" t="s">
        <v>807</v>
      </c>
      <c r="D1235" s="1082">
        <v>8</v>
      </c>
      <c r="E1235" s="1083" t="s">
        <v>299</v>
      </c>
      <c r="F1235" s="1084">
        <v>10</v>
      </c>
      <c r="G1235" s="1082">
        <v>9</v>
      </c>
      <c r="H1235" s="1083" t="s">
        <v>299</v>
      </c>
      <c r="I1235" s="1084">
        <v>6</v>
      </c>
      <c r="J1235" s="1085"/>
      <c r="K1235" s="434">
        <f>(G1235-D1235)*20+I1235-F1235</f>
        <v>16</v>
      </c>
      <c r="L1235" s="1171">
        <v>2</v>
      </c>
      <c r="M1235" s="1087"/>
      <c r="N1235" s="1087">
        <v>0.6</v>
      </c>
      <c r="O1235" s="1088"/>
      <c r="P1235" s="1086"/>
      <c r="Q1235" s="1088"/>
      <c r="R1235" s="1582">
        <f>K1235*L1235*N1235</f>
        <v>19.2</v>
      </c>
      <c r="S1235" s="340" t="s">
        <v>164</v>
      </c>
      <c r="T1235" s="347">
        <v>21</v>
      </c>
      <c r="U1235" s="1081" t="s">
        <v>798</v>
      </c>
      <c r="V1235" s="306"/>
      <c r="W1235" s="175"/>
      <c r="X1235" s="175"/>
      <c r="Y1235" s="175"/>
      <c r="Z1235" s="175"/>
      <c r="AA1235" s="175"/>
    </row>
    <row r="1236" spans="1:27" s="176" customFormat="1">
      <c r="A1236" s="1110"/>
      <c r="B1236" s="296"/>
      <c r="C1236" s="1081" t="s">
        <v>807</v>
      </c>
      <c r="D1236" s="1082">
        <v>8</v>
      </c>
      <c r="E1236" s="1083" t="s">
        <v>299</v>
      </c>
      <c r="F1236" s="1084">
        <v>10</v>
      </c>
      <c r="G1236" s="1082">
        <v>9</v>
      </c>
      <c r="H1236" s="1083" t="s">
        <v>299</v>
      </c>
      <c r="I1236" s="1084">
        <v>6</v>
      </c>
      <c r="J1236" s="1085"/>
      <c r="K1236" s="1089"/>
      <c r="L1236" s="1171">
        <v>4</v>
      </c>
      <c r="M1236" s="1169">
        <v>1.1000000000000001</v>
      </c>
      <c r="N1236" s="1090">
        <v>2</v>
      </c>
      <c r="O1236" s="1091"/>
      <c r="P1236" s="1086"/>
      <c r="Q1236" s="1088"/>
      <c r="R1236" s="1582">
        <f>M1236*N1236*L1236</f>
        <v>8.8000000000000007</v>
      </c>
      <c r="S1236" s="340" t="s">
        <v>164</v>
      </c>
      <c r="T1236" s="347">
        <v>21</v>
      </c>
      <c r="U1236" s="1081" t="s">
        <v>799</v>
      </c>
      <c r="V1236" s="306"/>
      <c r="W1236" s="175"/>
      <c r="X1236" s="175"/>
      <c r="Y1236" s="175"/>
      <c r="Z1236" s="175"/>
      <c r="AA1236" s="175"/>
    </row>
    <row r="1237" spans="1:27" s="176" customFormat="1">
      <c r="A1237" s="1110"/>
      <c r="B1237" s="296"/>
      <c r="C1237" s="1081" t="s">
        <v>808</v>
      </c>
      <c r="D1237" s="1092">
        <v>8</v>
      </c>
      <c r="E1237" s="1093" t="s">
        <v>299</v>
      </c>
      <c r="F1237" s="1094">
        <v>10</v>
      </c>
      <c r="G1237" s="1092">
        <v>9</v>
      </c>
      <c r="H1237" s="1093" t="s">
        <v>299</v>
      </c>
      <c r="I1237" s="1094">
        <v>6</v>
      </c>
      <c r="J1237" s="1085"/>
      <c r="K1237" s="1165">
        <f>SUM(G1237*20+I1237)-(D1237*20+F1237)</f>
        <v>16</v>
      </c>
      <c r="L1237" s="1171">
        <v>3.4</v>
      </c>
      <c r="M1237" s="1087"/>
      <c r="N1237" s="1087"/>
      <c r="O1237" s="1088"/>
      <c r="P1237" s="1086"/>
      <c r="Q1237" s="1088"/>
      <c r="R1237" s="1582">
        <f>K1237*L1237</f>
        <v>54.4</v>
      </c>
      <c r="S1237" s="340" t="s">
        <v>164</v>
      </c>
      <c r="T1237" s="347">
        <v>21</v>
      </c>
      <c r="U1237" s="1081" t="s">
        <v>809</v>
      </c>
      <c r="V1237" s="306"/>
      <c r="W1237" s="175"/>
      <c r="X1237" s="175"/>
      <c r="Y1237" s="175"/>
      <c r="Z1237" s="175"/>
      <c r="AA1237" s="175"/>
    </row>
    <row r="1238" spans="1:27" s="176" customFormat="1">
      <c r="A1238" s="1110"/>
      <c r="B1238" s="296"/>
      <c r="C1238" s="339" t="s">
        <v>552</v>
      </c>
      <c r="D1238" s="496"/>
      <c r="E1238" s="606"/>
      <c r="F1238" s="498"/>
      <c r="G1238" s="649"/>
      <c r="H1238" s="606"/>
      <c r="I1238" s="545"/>
      <c r="J1238" s="434" t="s">
        <v>300</v>
      </c>
      <c r="K1238" s="496">
        <v>4.4000000000000004</v>
      </c>
      <c r="L1238" s="558">
        <v>0.2</v>
      </c>
      <c r="M1238" s="1170"/>
      <c r="N1238" s="617">
        <f>SUM(K1238+M1238)*2*L1238</f>
        <v>1.7600000000000002</v>
      </c>
      <c r="O1238" s="406"/>
      <c r="P1238" s="344"/>
      <c r="Q1238" s="434">
        <v>2</v>
      </c>
      <c r="R1238" s="462">
        <f>TRUNC(N1238*Q1238,3)</f>
        <v>3.52</v>
      </c>
      <c r="S1238" s="340" t="s">
        <v>151</v>
      </c>
      <c r="T1238" s="347">
        <v>22</v>
      </c>
      <c r="U1238" s="435" t="s">
        <v>871</v>
      </c>
      <c r="V1238" s="306">
        <f>V1239</f>
        <v>0</v>
      </c>
      <c r="W1238" s="175"/>
      <c r="X1238" s="175"/>
      <c r="Y1238" s="175"/>
      <c r="Z1238" s="175"/>
      <c r="AA1238" s="175"/>
    </row>
    <row r="1239" spans="1:27" s="176" customFormat="1">
      <c r="A1239" s="1110"/>
      <c r="B1239" s="296"/>
      <c r="C1239" s="343" t="s">
        <v>937</v>
      </c>
      <c r="D1239" s="1092">
        <v>25</v>
      </c>
      <c r="E1239" s="1093" t="s">
        <v>299</v>
      </c>
      <c r="F1239" s="1094">
        <v>16</v>
      </c>
      <c r="G1239" s="1092">
        <v>27</v>
      </c>
      <c r="H1239" s="1093" t="s">
        <v>299</v>
      </c>
      <c r="I1239" s="1094">
        <v>0</v>
      </c>
      <c r="J1239" s="1085"/>
      <c r="K1239" s="1165">
        <f t="shared" ref="K1239:K1244" si="167">SUM(G1239*20+I1239)-(D1239*20+F1239)</f>
        <v>24</v>
      </c>
      <c r="L1239" s="558">
        <v>0.2</v>
      </c>
      <c r="M1239" s="558">
        <f>K1239*L1239</f>
        <v>4.8000000000000007</v>
      </c>
      <c r="N1239" s="617"/>
      <c r="O1239" s="1088"/>
      <c r="P1239" s="1086"/>
      <c r="Q1239" s="1088">
        <v>2</v>
      </c>
      <c r="R1239" s="1583">
        <f>M1239*Q1239</f>
        <v>9.6000000000000014</v>
      </c>
      <c r="S1239" s="340" t="s">
        <v>164</v>
      </c>
      <c r="T1239" s="347">
        <v>23</v>
      </c>
      <c r="U1239" s="1081" t="s">
        <v>809</v>
      </c>
      <c r="V1239" s="306"/>
      <c r="W1239" s="175"/>
      <c r="X1239" s="175"/>
      <c r="Y1239" s="175"/>
      <c r="Z1239" s="175"/>
      <c r="AA1239" s="175"/>
    </row>
    <row r="1240" spans="1:27" s="176" customFormat="1">
      <c r="A1240" s="1110"/>
      <c r="B1240" s="296"/>
      <c r="C1240" s="343" t="s">
        <v>938</v>
      </c>
      <c r="D1240" s="1092">
        <v>25</v>
      </c>
      <c r="E1240" s="1093" t="s">
        <v>299</v>
      </c>
      <c r="F1240" s="1094">
        <v>16</v>
      </c>
      <c r="G1240" s="1092">
        <v>27</v>
      </c>
      <c r="H1240" s="1093" t="s">
        <v>299</v>
      </c>
      <c r="I1240" s="1094">
        <v>0</v>
      </c>
      <c r="J1240" s="434" t="s">
        <v>300</v>
      </c>
      <c r="K1240" s="1165">
        <f t="shared" si="167"/>
        <v>24</v>
      </c>
      <c r="L1240" s="558">
        <v>3.2</v>
      </c>
      <c r="M1240" s="558">
        <v>0.2</v>
      </c>
      <c r="N1240" s="617">
        <f>M1240*L1240</f>
        <v>0.64000000000000012</v>
      </c>
      <c r="O1240" s="406"/>
      <c r="P1240" s="344"/>
      <c r="Q1240" s="434">
        <v>8</v>
      </c>
      <c r="R1240" s="462">
        <f>N1240*Q1240</f>
        <v>5.120000000000001</v>
      </c>
      <c r="S1240" s="340" t="s">
        <v>151</v>
      </c>
      <c r="T1240" s="347">
        <v>23</v>
      </c>
      <c r="U1240" s="435" t="s">
        <v>871</v>
      </c>
      <c r="V1240" s="306">
        <f>V1246</f>
        <v>72.506666666666717</v>
      </c>
      <c r="W1240" s="175"/>
      <c r="X1240" s="175"/>
      <c r="Y1240" s="175"/>
      <c r="Z1240" s="175"/>
      <c r="AA1240" s="175"/>
    </row>
    <row r="1241" spans="1:27" s="176" customFormat="1">
      <c r="A1241" s="1110"/>
      <c r="B1241" s="296"/>
      <c r="C1241" s="343" t="s">
        <v>937</v>
      </c>
      <c r="D1241" s="1092">
        <v>27</v>
      </c>
      <c r="E1241" s="1093" t="s">
        <v>299</v>
      </c>
      <c r="F1241" s="1094">
        <v>0</v>
      </c>
      <c r="G1241" s="1092">
        <v>31</v>
      </c>
      <c r="H1241" s="1093" t="s">
        <v>299</v>
      </c>
      <c r="I1241" s="1094">
        <v>12</v>
      </c>
      <c r="J1241" s="1085"/>
      <c r="K1241" s="1165">
        <f t="shared" si="167"/>
        <v>92</v>
      </c>
      <c r="L1241" s="558">
        <v>0.2</v>
      </c>
      <c r="M1241" s="558"/>
      <c r="N1241" s="617">
        <f>K1241*L1241</f>
        <v>18.400000000000002</v>
      </c>
      <c r="O1241" s="1088"/>
      <c r="P1241" s="1086"/>
      <c r="Q1241" s="1088">
        <v>2</v>
      </c>
      <c r="R1241" s="1583">
        <f>N1241*Q1241</f>
        <v>36.800000000000004</v>
      </c>
      <c r="S1241" s="340" t="s">
        <v>164</v>
      </c>
      <c r="T1241" s="347">
        <v>24</v>
      </c>
      <c r="U1241" s="1081"/>
      <c r="V1241" s="306"/>
      <c r="W1241" s="175"/>
      <c r="X1241" s="175"/>
      <c r="Y1241" s="175"/>
      <c r="Z1241" s="175"/>
      <c r="AA1241" s="175"/>
    </row>
    <row r="1242" spans="1:27" s="765" customFormat="1" ht="19.899999999999999" customHeight="1">
      <c r="A1242" s="1771"/>
      <c r="B1242" s="767"/>
      <c r="C1242" s="1514" t="s">
        <v>1029</v>
      </c>
      <c r="D1242" s="1402">
        <v>42</v>
      </c>
      <c r="E1242" s="1403" t="s">
        <v>299</v>
      </c>
      <c r="F1242" s="1404">
        <v>2</v>
      </c>
      <c r="G1242" s="1402">
        <v>43</v>
      </c>
      <c r="H1242" s="1403" t="s">
        <v>299</v>
      </c>
      <c r="I1242" s="1404">
        <v>14</v>
      </c>
      <c r="J1242" s="439" t="s">
        <v>300</v>
      </c>
      <c r="K1242" s="439">
        <f t="shared" si="167"/>
        <v>32</v>
      </c>
      <c r="L1242" s="553">
        <v>0.2</v>
      </c>
      <c r="M1242" s="438"/>
      <c r="N1242" s="1229">
        <f>K1242*L1242</f>
        <v>6.4</v>
      </c>
      <c r="O1242" s="438"/>
      <c r="P1242" s="453"/>
      <c r="Q1242" s="438">
        <v>2</v>
      </c>
      <c r="R1242" s="454">
        <f>N1242*Q1242</f>
        <v>12.8</v>
      </c>
      <c r="S1242" s="438" t="s">
        <v>164</v>
      </c>
      <c r="T1242" s="441">
        <v>28</v>
      </c>
      <c r="U1242" s="759"/>
      <c r="V1242" s="713"/>
      <c r="W1242" s="688"/>
      <c r="X1242" s="688"/>
      <c r="Y1242" s="688"/>
      <c r="Z1242" s="688"/>
      <c r="AA1242" s="688"/>
    </row>
    <row r="1243" spans="1:27" s="765" customFormat="1">
      <c r="A1243" s="1771"/>
      <c r="B1243" s="767"/>
      <c r="C1243" s="763" t="s">
        <v>938</v>
      </c>
      <c r="D1243" s="1402">
        <v>42</v>
      </c>
      <c r="E1243" s="1403" t="s">
        <v>299</v>
      </c>
      <c r="F1243" s="1404">
        <v>2</v>
      </c>
      <c r="G1243" s="1402">
        <v>43</v>
      </c>
      <c r="H1243" s="1403" t="s">
        <v>299</v>
      </c>
      <c r="I1243" s="1404">
        <v>14</v>
      </c>
      <c r="J1243" s="439" t="s">
        <v>300</v>
      </c>
      <c r="K1243" s="1511">
        <f t="shared" si="167"/>
        <v>32</v>
      </c>
      <c r="L1243" s="553">
        <v>3.2</v>
      </c>
      <c r="M1243" s="553">
        <v>0.2</v>
      </c>
      <c r="N1243" s="1512">
        <f>M1243*L1243</f>
        <v>0.64000000000000012</v>
      </c>
      <c r="O1243" s="758"/>
      <c r="P1243" s="440"/>
      <c r="Q1243" s="439">
        <v>8</v>
      </c>
      <c r="R1243" s="454">
        <f>N1243*Q1243</f>
        <v>5.120000000000001</v>
      </c>
      <c r="S1243" s="438" t="s">
        <v>151</v>
      </c>
      <c r="T1243" s="441">
        <v>28</v>
      </c>
      <c r="U1243" s="1164"/>
      <c r="V1243" s="713">
        <f ca="1">V1249</f>
        <v>-7.0133333333333212</v>
      </c>
      <c r="W1243" s="688"/>
      <c r="X1243" s="688"/>
      <c r="Y1243" s="688"/>
      <c r="Z1243" s="688"/>
      <c r="AA1243" s="688"/>
    </row>
    <row r="1244" spans="1:27" s="765" customFormat="1">
      <c r="A1244" s="1771"/>
      <c r="B1244" s="767"/>
      <c r="C1244" s="763" t="s">
        <v>1183</v>
      </c>
      <c r="D1244" s="1402">
        <v>11</v>
      </c>
      <c r="E1244" s="1403" t="s">
        <v>299</v>
      </c>
      <c r="F1244" s="1404">
        <v>10</v>
      </c>
      <c r="G1244" s="1402">
        <v>43</v>
      </c>
      <c r="H1244" s="1403" t="s">
        <v>299</v>
      </c>
      <c r="I1244" s="1404">
        <v>14</v>
      </c>
      <c r="J1244" s="439" t="s">
        <v>300</v>
      </c>
      <c r="K1244" s="1511">
        <f t="shared" si="167"/>
        <v>644</v>
      </c>
      <c r="L1244" s="553"/>
      <c r="M1244" s="553">
        <v>0.1</v>
      </c>
      <c r="N1244" s="1512">
        <f>K1244*M1244</f>
        <v>64.400000000000006</v>
      </c>
      <c r="O1244" s="758"/>
      <c r="P1244" s="440"/>
      <c r="Q1244" s="439">
        <v>1</v>
      </c>
      <c r="R1244" s="454">
        <f>Q1244*N1244</f>
        <v>64.400000000000006</v>
      </c>
      <c r="S1244" s="438" t="s">
        <v>151</v>
      </c>
      <c r="T1244" s="441">
        <v>28</v>
      </c>
      <c r="U1244" s="1164" t="s">
        <v>1184</v>
      </c>
      <c r="V1244" s="713">
        <f>V1250</f>
        <v>0</v>
      </c>
      <c r="W1244" s="688"/>
      <c r="X1244" s="688"/>
      <c r="Y1244" s="688"/>
      <c r="Z1244" s="688"/>
      <c r="AA1244" s="688"/>
    </row>
    <row r="1245" spans="1:27" s="765" customFormat="1">
      <c r="A1245" s="1771"/>
      <c r="B1245" s="1172"/>
      <c r="C1245" s="1018"/>
      <c r="D1245" s="1212"/>
      <c r="E1245" s="2283"/>
      <c r="F1245" s="1726"/>
      <c r="G1245" s="2284"/>
      <c r="H1245" s="2283"/>
      <c r="I1245" s="1213"/>
      <c r="J1245" s="1492"/>
      <c r="K1245" s="1727"/>
      <c r="L1245" s="1408"/>
      <c r="M1245" s="1408"/>
      <c r="N1245" s="1494"/>
      <c r="O1245" s="1707"/>
      <c r="P1245" s="1706"/>
      <c r="Q1245" s="1492"/>
      <c r="R1245" s="1728"/>
      <c r="S1245" s="1493"/>
      <c r="T1245" s="1497"/>
      <c r="U1245" s="1206"/>
      <c r="V1245" s="713"/>
      <c r="W1245" s="688"/>
      <c r="X1245" s="688"/>
      <c r="Y1245" s="688"/>
      <c r="Z1245" s="688"/>
      <c r="AA1245" s="688"/>
    </row>
    <row r="1246" spans="1:27" s="40" customFormat="1">
      <c r="A1246" s="1110"/>
      <c r="B1246" s="645"/>
      <c r="C1246" s="1614"/>
      <c r="D1246" s="2548" t="s">
        <v>257</v>
      </c>
      <c r="E1246" s="2549"/>
      <c r="F1246" s="2549"/>
      <c r="G1246" s="2549"/>
      <c r="H1246" s="2549"/>
      <c r="I1246" s="2550"/>
      <c r="J1246" s="2490">
        <f>VLOOKUP(A1248,'11 - FINANCEIRA'!$A$16:$AE$156,30,FALSE)</f>
        <v>469.09</v>
      </c>
      <c r="K1246" s="2491"/>
      <c r="L1246" s="590" t="str">
        <f>VLOOKUP(A1248,'11 - FINANCEIRA'!_xlnm.Print_Area,4,FALSE)</f>
        <v>m²</v>
      </c>
      <c r="M1246" s="2561" t="s">
        <v>258</v>
      </c>
      <c r="N1246" s="2562"/>
      <c r="O1246" s="2562"/>
      <c r="P1246" s="2562"/>
      <c r="Q1246" s="2563"/>
      <c r="R1246" s="375">
        <f>SUM(R1218:R1244)</f>
        <v>465.30366666666669</v>
      </c>
      <c r="S1246" s="591" t="str">
        <f>L1246</f>
        <v>m²</v>
      </c>
      <c r="T1246" s="390"/>
      <c r="U1246" s="391"/>
      <c r="V1246" s="306">
        <f>V1247</f>
        <v>72.506666666666717</v>
      </c>
    </row>
    <row r="1247" spans="1:27" s="40" customFormat="1">
      <c r="A1247" s="1106"/>
      <c r="B1247" s="1350"/>
      <c r="C1247" s="1351"/>
      <c r="D1247" s="2505" t="s">
        <v>259</v>
      </c>
      <c r="E1247" s="2506"/>
      <c r="F1247" s="2506"/>
      <c r="G1247" s="2506"/>
      <c r="H1247" s="2506"/>
      <c r="I1247" s="2507"/>
      <c r="J1247" s="2511">
        <f>R1246/J1246</f>
        <v>0.99192834353038162</v>
      </c>
      <c r="K1247" s="2512"/>
      <c r="L1247" s="2559"/>
      <c r="M1247" s="2561" t="s">
        <v>260</v>
      </c>
      <c r="N1247" s="2562"/>
      <c r="O1247" s="2562"/>
      <c r="P1247" s="2562"/>
      <c r="Q1247" s="2563"/>
      <c r="R1247" s="375">
        <f>VLOOKUP(A1248,'11 - FINANCEIRA'!_xlnm.Print_Area,8,FALSE)</f>
        <v>392.79699999999997</v>
      </c>
      <c r="S1247" s="376" t="str">
        <f>L1246</f>
        <v>m²</v>
      </c>
      <c r="T1247" s="372"/>
      <c r="U1247" s="1227"/>
      <c r="V1247" s="174">
        <f>V1248</f>
        <v>72.506666666666717</v>
      </c>
    </row>
    <row r="1248" spans="1:27" s="40" customFormat="1">
      <c r="A1248" s="1106" t="s">
        <v>103</v>
      </c>
      <c r="B1248" s="647"/>
      <c r="C1248" s="1352"/>
      <c r="D1248" s="2551"/>
      <c r="E1248" s="2552"/>
      <c r="F1248" s="2552"/>
      <c r="G1248" s="2552"/>
      <c r="H1248" s="2552"/>
      <c r="I1248" s="2553"/>
      <c r="J1248" s="2530"/>
      <c r="K1248" s="2531"/>
      <c r="L1248" s="2560"/>
      <c r="M1248" s="2561" t="s">
        <v>261</v>
      </c>
      <c r="N1248" s="2562"/>
      <c r="O1248" s="2562"/>
      <c r="P1248" s="2562"/>
      <c r="Q1248" s="2563"/>
      <c r="R1248" s="375">
        <f>R1246-R1247</f>
        <v>72.506666666666717</v>
      </c>
      <c r="S1248" s="376" t="str">
        <f>L1246</f>
        <v>m²</v>
      </c>
      <c r="T1248" s="2081"/>
      <c r="U1248" s="1355"/>
      <c r="V1248" s="174">
        <f>R1248</f>
        <v>72.506666666666717</v>
      </c>
    </row>
    <row r="1249" spans="1:27" s="40" customFormat="1" hidden="1">
      <c r="A1249" s="1106"/>
      <c r="B1249" s="2071"/>
      <c r="C1249" s="2072"/>
      <c r="D1249" s="2073"/>
      <c r="E1249" s="2074"/>
      <c r="F1249" s="2073"/>
      <c r="G1249" s="2073"/>
      <c r="H1249" s="2073"/>
      <c r="I1249" s="2073"/>
      <c r="J1249" s="2075"/>
      <c r="K1249" s="2076"/>
      <c r="L1249" s="2077"/>
      <c r="M1249" s="2078"/>
      <c r="N1249" s="2078"/>
      <c r="O1249" s="2078"/>
      <c r="P1249" s="2078"/>
      <c r="Q1249" s="2078"/>
      <c r="R1249" s="2079"/>
      <c r="S1249" s="2080"/>
      <c r="T1249" s="2081"/>
      <c r="U1249" s="1355"/>
      <c r="V1249" s="265">
        <f ca="1">SUM(V1216:V1248)</f>
        <v>-28.053333333333285</v>
      </c>
    </row>
    <row r="1250" spans="1:27" s="176" customFormat="1" hidden="1">
      <c r="A1250" s="1106"/>
      <c r="B1250" s="2494">
        <f>VLOOKUP(A1267,'11 - FINANCEIRA'!_xlnm.Print_Area,2,FALSE)</f>
        <v>1107890</v>
      </c>
      <c r="C1250" s="2492" t="str">
        <f>VLOOKUP(A1267,'11 - FINANCEIRA'!_xlnm.Print_Area,3,FALSE)</f>
        <v>Concreto fck = 30 MPa - confecção em central dosadora de 30 m³/h - areia e brita comerciais</v>
      </c>
      <c r="D1250" s="2581" t="s">
        <v>242</v>
      </c>
      <c r="E1250" s="2582"/>
      <c r="F1250" s="2582"/>
      <c r="G1250" s="2582"/>
      <c r="H1250" s="2582"/>
      <c r="I1250" s="2583"/>
      <c r="J1250" s="2467" t="s">
        <v>243</v>
      </c>
      <c r="K1250" s="2496" t="s">
        <v>244</v>
      </c>
      <c r="L1250" s="2496" t="s">
        <v>245</v>
      </c>
      <c r="M1250" s="2496" t="s">
        <v>246</v>
      </c>
      <c r="N1250" s="2496" t="s">
        <v>247</v>
      </c>
      <c r="O1250" s="2496" t="s">
        <v>248</v>
      </c>
      <c r="P1250" s="2577" t="s">
        <v>139</v>
      </c>
      <c r="Q1250" s="2496" t="s">
        <v>390</v>
      </c>
      <c r="R1250" s="2577" t="s">
        <v>139</v>
      </c>
      <c r="S1250" s="2496" t="s">
        <v>251</v>
      </c>
      <c r="T1250" s="2496" t="s">
        <v>252</v>
      </c>
      <c r="U1250" s="2586" t="s">
        <v>253</v>
      </c>
      <c r="V1250" s="174">
        <f>V1251</f>
        <v>0</v>
      </c>
      <c r="W1250" s="175"/>
      <c r="X1250" s="175"/>
      <c r="Y1250" s="175"/>
      <c r="Z1250" s="175"/>
      <c r="AA1250" s="175"/>
    </row>
    <row r="1251" spans="1:27" s="176" customFormat="1" hidden="1">
      <c r="A1251" s="1106"/>
      <c r="B1251" s="2495"/>
      <c r="C1251" s="2493"/>
      <c r="D1251" s="2588" t="s">
        <v>254</v>
      </c>
      <c r="E1251" s="2589"/>
      <c r="F1251" s="2590"/>
      <c r="G1251" s="2591" t="s">
        <v>255</v>
      </c>
      <c r="H1251" s="2592"/>
      <c r="I1251" s="2593"/>
      <c r="J1251" s="2468"/>
      <c r="K1251" s="2497"/>
      <c r="L1251" s="2497"/>
      <c r="M1251" s="2497"/>
      <c r="N1251" s="2497"/>
      <c r="O1251" s="2497"/>
      <c r="P1251" s="2578"/>
      <c r="Q1251" s="2497"/>
      <c r="R1251" s="2578"/>
      <c r="S1251" s="2497"/>
      <c r="T1251" s="2497"/>
      <c r="U1251" s="2587"/>
      <c r="V1251" s="174">
        <f>V1252</f>
        <v>0</v>
      </c>
      <c r="W1251" s="175"/>
      <c r="X1251" s="175"/>
      <c r="Y1251" s="175"/>
      <c r="Z1251" s="175"/>
      <c r="AA1251" s="175"/>
    </row>
    <row r="1252" spans="1:27" s="176" customFormat="1" hidden="1">
      <c r="A1252" s="1110"/>
      <c r="B1252" s="336"/>
      <c r="C1252" s="266" t="s">
        <v>391</v>
      </c>
      <c r="D1252" s="469">
        <v>0</v>
      </c>
      <c r="E1252" s="605" t="s">
        <v>299</v>
      </c>
      <c r="F1252" s="471">
        <v>14.04</v>
      </c>
      <c r="G1252" s="472">
        <v>11</v>
      </c>
      <c r="H1252" s="608" t="s">
        <v>299</v>
      </c>
      <c r="I1252" s="474">
        <v>10</v>
      </c>
      <c r="J1252" s="489" t="s">
        <v>300</v>
      </c>
      <c r="K1252" s="489">
        <f>SUM(G1252*20+I1252)-(D1252*20+F1252)</f>
        <v>215.96</v>
      </c>
      <c r="L1252" s="489">
        <v>3.8</v>
      </c>
      <c r="M1252" s="555">
        <v>0.12</v>
      </c>
      <c r="N1252" s="275"/>
      <c r="O1252" s="483">
        <f>TRUNC(K1252*L1252*M1252,3)</f>
        <v>98.477000000000004</v>
      </c>
      <c r="P1252" s="338"/>
      <c r="Q1252" s="275"/>
      <c r="R1252" s="191">
        <f>TRUNC(O1252,3)</f>
        <v>98.477000000000004</v>
      </c>
      <c r="S1252" s="275" t="s">
        <v>164</v>
      </c>
      <c r="T1252" s="276">
        <v>6</v>
      </c>
      <c r="U1252" s="621"/>
      <c r="V1252" s="306">
        <f>V1253</f>
        <v>0</v>
      </c>
      <c r="W1252" s="175"/>
      <c r="X1252" s="175"/>
      <c r="Y1252" s="175"/>
      <c r="Z1252" s="175"/>
      <c r="AA1252" s="175"/>
    </row>
    <row r="1253" spans="1:27" s="176" customFormat="1" hidden="1">
      <c r="A1253" s="1110"/>
      <c r="B1253" s="296"/>
      <c r="C1253" s="547" t="s">
        <v>392</v>
      </c>
      <c r="D1253" s="611"/>
      <c r="E1253" s="612"/>
      <c r="F1253" s="565"/>
      <c r="G1253" s="613"/>
      <c r="H1253" s="612"/>
      <c r="I1253" s="433"/>
      <c r="J1253" s="614" t="s">
        <v>300</v>
      </c>
      <c r="K1253" s="611">
        <v>3.4</v>
      </c>
      <c r="L1253" s="614">
        <v>1</v>
      </c>
      <c r="M1253" s="434">
        <v>0.2</v>
      </c>
      <c r="N1253" s="615">
        <f>K1253*L1253</f>
        <v>3.4</v>
      </c>
      <c r="O1253" s="353"/>
      <c r="P1253" s="350">
        <v>4</v>
      </c>
      <c r="Q1253" s="354">
        <f>(3.14*(0.3)^2)*P1253</f>
        <v>1.1304000000000001</v>
      </c>
      <c r="R1253" s="356">
        <f>TRUNC(N1253*P1253*M1253-Q1253,3)</f>
        <v>1.589</v>
      </c>
      <c r="S1253" s="340" t="s">
        <v>151</v>
      </c>
      <c r="T1253" s="347">
        <v>6</v>
      </c>
      <c r="U1253" s="559" t="s">
        <v>393</v>
      </c>
      <c r="V1253" s="306">
        <f>V1254</f>
        <v>0</v>
      </c>
      <c r="W1253" s="175"/>
      <c r="X1253" s="175"/>
      <c r="Y1253" s="175"/>
      <c r="Z1253" s="175"/>
      <c r="AA1253" s="175"/>
    </row>
    <row r="1254" spans="1:27" s="175" customFormat="1" hidden="1">
      <c r="A1254" s="1110"/>
      <c r="B1254" s="342"/>
      <c r="C1254" s="547" t="s">
        <v>392</v>
      </c>
      <c r="D1254" s="611"/>
      <c r="E1254" s="612"/>
      <c r="F1254" s="565"/>
      <c r="G1254" s="613"/>
      <c r="H1254" s="612"/>
      <c r="I1254" s="433"/>
      <c r="J1254" s="614" t="s">
        <v>300</v>
      </c>
      <c r="K1254" s="611">
        <v>3.4</v>
      </c>
      <c r="L1254" s="614">
        <v>1</v>
      </c>
      <c r="M1254" s="434">
        <v>0.2</v>
      </c>
      <c r="N1254" s="615">
        <f>K1254*L1254</f>
        <v>3.4</v>
      </c>
      <c r="O1254" s="353"/>
      <c r="P1254" s="350">
        <v>4</v>
      </c>
      <c r="Q1254" s="354">
        <f>(3.14*(0.3)^2)*P1254</f>
        <v>1.1304000000000001</v>
      </c>
      <c r="R1254" s="356">
        <f>TRUNC(N1254*P1254*M1254-Q1254,3)*-1</f>
        <v>-1.589</v>
      </c>
      <c r="S1254" s="340" t="s">
        <v>151</v>
      </c>
      <c r="T1254" s="347">
        <v>7</v>
      </c>
      <c r="U1254" s="559" t="s">
        <v>389</v>
      </c>
      <c r="V1254" s="306">
        <f>V1258</f>
        <v>0</v>
      </c>
    </row>
    <row r="1255" spans="1:27" s="176" customFormat="1" hidden="1">
      <c r="A1255" s="1110"/>
      <c r="B1255" s="296"/>
      <c r="C1255" s="339" t="s">
        <v>610</v>
      </c>
      <c r="D1255" s="496">
        <v>9</v>
      </c>
      <c r="E1255" s="606" t="s">
        <v>299</v>
      </c>
      <c r="F1255" s="498">
        <v>0</v>
      </c>
      <c r="G1255" s="496">
        <v>9</v>
      </c>
      <c r="H1255" s="606" t="s">
        <v>299</v>
      </c>
      <c r="I1255" s="498">
        <v>0</v>
      </c>
      <c r="J1255" s="614" t="s">
        <v>300</v>
      </c>
      <c r="K1255" s="546">
        <f>SUM(8.15+8.15)/2</f>
        <v>8.15</v>
      </c>
      <c r="L1255" s="558">
        <f>SUM(11.6+10.85)/2</f>
        <v>11.225</v>
      </c>
      <c r="M1255" s="340">
        <v>0.12</v>
      </c>
      <c r="N1255" s="834"/>
      <c r="O1255" s="434">
        <f t="shared" ref="O1255:O1261" si="168">K1255*L1255*M1255</f>
        <v>10.97805</v>
      </c>
      <c r="P1255" s="461"/>
      <c r="Q1255" s="434"/>
      <c r="R1255" s="616">
        <f t="shared" ref="R1255:R1260" si="169">O1255</f>
        <v>10.97805</v>
      </c>
      <c r="S1255" s="357" t="s">
        <v>151</v>
      </c>
      <c r="T1255" s="347">
        <v>15</v>
      </c>
      <c r="U1255" s="435" t="s">
        <v>612</v>
      </c>
      <c r="V1255" s="306"/>
      <c r="W1255" s="175"/>
      <c r="X1255" s="175"/>
      <c r="Y1255" s="175"/>
      <c r="Z1255" s="175"/>
      <c r="AA1255" s="175"/>
    </row>
    <row r="1256" spans="1:27" s="176" customFormat="1" hidden="1">
      <c r="A1256" s="1110"/>
      <c r="B1256" s="296"/>
      <c r="C1256" s="343" t="s">
        <v>611</v>
      </c>
      <c r="D1256" s="844">
        <v>11</v>
      </c>
      <c r="E1256" s="606" t="s">
        <v>299</v>
      </c>
      <c r="F1256" s="816">
        <v>10</v>
      </c>
      <c r="G1256" s="844">
        <v>14</v>
      </c>
      <c r="H1256" s="845" t="s">
        <v>299</v>
      </c>
      <c r="I1256" s="816">
        <v>10</v>
      </c>
      <c r="J1256" s="614" t="s">
        <v>300</v>
      </c>
      <c r="K1256" s="434">
        <f>SUM(G1256*20+I1256)-(D1256*20+F1256)</f>
        <v>60</v>
      </c>
      <c r="L1256" s="558">
        <v>3.4</v>
      </c>
      <c r="M1256" s="954">
        <v>0.2</v>
      </c>
      <c r="N1256" s="477"/>
      <c r="O1256" s="650">
        <f t="shared" si="168"/>
        <v>40.800000000000004</v>
      </c>
      <c r="P1256" s="955"/>
      <c r="Q1256" s="650"/>
      <c r="R1256" s="462">
        <f t="shared" si="169"/>
        <v>40.800000000000004</v>
      </c>
      <c r="S1256" s="340" t="s">
        <v>151</v>
      </c>
      <c r="T1256" s="347">
        <v>15</v>
      </c>
      <c r="U1256" s="508" t="s">
        <v>613</v>
      </c>
      <c r="V1256" s="306"/>
      <c r="W1256" s="175"/>
      <c r="X1256" s="175"/>
      <c r="Y1256" s="175"/>
      <c r="Z1256" s="175"/>
      <c r="AA1256" s="175"/>
    </row>
    <row r="1257" spans="1:27" s="176" customFormat="1" hidden="1">
      <c r="A1257" s="1110"/>
      <c r="B1257" s="296"/>
      <c r="C1257" s="343" t="s">
        <v>611</v>
      </c>
      <c r="D1257" s="844">
        <v>14</v>
      </c>
      <c r="E1257" s="606" t="s">
        <v>299</v>
      </c>
      <c r="F1257" s="816">
        <v>10</v>
      </c>
      <c r="G1257" s="844">
        <v>19</v>
      </c>
      <c r="H1257" s="845" t="s">
        <v>299</v>
      </c>
      <c r="I1257" s="816">
        <v>10</v>
      </c>
      <c r="J1257" s="614" t="s">
        <v>300</v>
      </c>
      <c r="K1257" s="434">
        <f>SUM(G1257*20+I1257)-(D1257*20+F1257)</f>
        <v>100</v>
      </c>
      <c r="L1257" s="558">
        <v>4.4000000000000004</v>
      </c>
      <c r="M1257" s="954">
        <v>0.2</v>
      </c>
      <c r="N1257" s="477"/>
      <c r="O1257" s="650">
        <f t="shared" si="168"/>
        <v>88.000000000000014</v>
      </c>
      <c r="P1257" s="955"/>
      <c r="Q1257" s="650"/>
      <c r="R1257" s="462">
        <f t="shared" si="169"/>
        <v>88.000000000000014</v>
      </c>
      <c r="S1257" s="340" t="s">
        <v>151</v>
      </c>
      <c r="T1257" s="347">
        <v>16</v>
      </c>
      <c r="U1257" s="508" t="s">
        <v>613</v>
      </c>
      <c r="V1257" s="306"/>
      <c r="W1257" s="175"/>
      <c r="X1257" s="175"/>
      <c r="Y1257" s="175"/>
      <c r="Z1257" s="175"/>
      <c r="AA1257" s="175"/>
    </row>
    <row r="1258" spans="1:27" s="176" customFormat="1" hidden="1">
      <c r="A1258" s="1110"/>
      <c r="B1258" s="296"/>
      <c r="C1258" s="343" t="s">
        <v>653</v>
      </c>
      <c r="D1258" s="844">
        <v>11</v>
      </c>
      <c r="E1258" s="606" t="s">
        <v>299</v>
      </c>
      <c r="F1258" s="816">
        <v>10</v>
      </c>
      <c r="G1258" s="844">
        <v>14</v>
      </c>
      <c r="H1258" s="845" t="s">
        <v>299</v>
      </c>
      <c r="I1258" s="816">
        <v>10</v>
      </c>
      <c r="J1258" s="614" t="s">
        <v>300</v>
      </c>
      <c r="K1258" s="434">
        <f>SUM(G1258*20+I1258)-(D1258*20+F1258)</f>
        <v>60</v>
      </c>
      <c r="L1258" s="558">
        <v>1</v>
      </c>
      <c r="M1258" s="954">
        <v>0.2</v>
      </c>
      <c r="N1258" s="477"/>
      <c r="O1258" s="650">
        <f t="shared" si="168"/>
        <v>12</v>
      </c>
      <c r="P1258" s="955"/>
      <c r="Q1258" s="650"/>
      <c r="R1258" s="462">
        <f t="shared" si="169"/>
        <v>12</v>
      </c>
      <c r="S1258" s="340" t="s">
        <v>151</v>
      </c>
      <c r="T1258" s="347">
        <v>16</v>
      </c>
      <c r="U1258" s="508" t="s">
        <v>652</v>
      </c>
      <c r="V1258" s="306"/>
      <c r="W1258" s="175"/>
      <c r="X1258" s="175"/>
      <c r="Y1258" s="175"/>
      <c r="Z1258" s="175"/>
      <c r="AA1258" s="175"/>
    </row>
    <row r="1259" spans="1:27" s="176" customFormat="1" hidden="1">
      <c r="A1259" s="1110"/>
      <c r="B1259" s="296"/>
      <c r="C1259" s="343" t="s">
        <v>611</v>
      </c>
      <c r="D1259" s="844">
        <v>19</v>
      </c>
      <c r="E1259" s="606" t="s">
        <v>299</v>
      </c>
      <c r="F1259" s="816">
        <v>10</v>
      </c>
      <c r="G1259" s="844">
        <v>22</v>
      </c>
      <c r="H1259" s="845" t="s">
        <v>299</v>
      </c>
      <c r="I1259" s="816">
        <v>10</v>
      </c>
      <c r="J1259" s="614" t="s">
        <v>300</v>
      </c>
      <c r="K1259" s="434">
        <f>SUM(G1259*20+I1259)-(D1259*20+F1259)</f>
        <v>60</v>
      </c>
      <c r="L1259" s="558">
        <v>4.4000000000000004</v>
      </c>
      <c r="M1259" s="954">
        <v>0.2</v>
      </c>
      <c r="N1259" s="477"/>
      <c r="O1259" s="650">
        <f t="shared" si="168"/>
        <v>52.800000000000004</v>
      </c>
      <c r="P1259" s="955"/>
      <c r="Q1259" s="650"/>
      <c r="R1259" s="462">
        <f t="shared" si="169"/>
        <v>52.800000000000004</v>
      </c>
      <c r="S1259" s="340" t="s">
        <v>151</v>
      </c>
      <c r="T1259" s="347">
        <v>17</v>
      </c>
      <c r="U1259" s="508" t="s">
        <v>613</v>
      </c>
      <c r="V1259" s="306"/>
      <c r="W1259" s="175"/>
      <c r="X1259" s="175"/>
      <c r="Y1259" s="175"/>
      <c r="Z1259" s="175"/>
      <c r="AA1259" s="175"/>
    </row>
    <row r="1260" spans="1:27" s="176" customFormat="1" hidden="1">
      <c r="A1260" s="1110"/>
      <c r="B1260" s="296"/>
      <c r="C1260" s="343" t="s">
        <v>611</v>
      </c>
      <c r="D1260" s="844">
        <f>G1259</f>
        <v>22</v>
      </c>
      <c r="E1260" s="606" t="s">
        <v>299</v>
      </c>
      <c r="F1260" s="816">
        <f>I1259</f>
        <v>10</v>
      </c>
      <c r="G1260" s="844">
        <f>G1232</f>
        <v>24</v>
      </c>
      <c r="H1260" s="845" t="s">
        <v>299</v>
      </c>
      <c r="I1260" s="816">
        <f>I1232</f>
        <v>10</v>
      </c>
      <c r="J1260" s="614" t="s">
        <v>300</v>
      </c>
      <c r="K1260" s="434">
        <f>SUM(G1260*20+I1260)-(D1260*20+F1260)</f>
        <v>40</v>
      </c>
      <c r="L1260" s="558">
        <v>4.4000000000000004</v>
      </c>
      <c r="M1260" s="954">
        <v>0.2</v>
      </c>
      <c r="N1260" s="477"/>
      <c r="O1260" s="650">
        <f t="shared" si="168"/>
        <v>35.200000000000003</v>
      </c>
      <c r="P1260" s="955"/>
      <c r="Q1260" s="650"/>
      <c r="R1260" s="462">
        <f t="shared" si="169"/>
        <v>35.200000000000003</v>
      </c>
      <c r="S1260" s="340" t="s">
        <v>151</v>
      </c>
      <c r="T1260" s="347">
        <v>18</v>
      </c>
      <c r="U1260" s="508" t="s">
        <v>613</v>
      </c>
      <c r="V1260" s="306"/>
      <c r="W1260" s="175"/>
      <c r="X1260" s="175"/>
      <c r="Y1260" s="175"/>
      <c r="Z1260" s="175"/>
      <c r="AA1260" s="175"/>
    </row>
    <row r="1261" spans="1:27" s="176" customFormat="1" hidden="1">
      <c r="A1261" s="1110"/>
      <c r="B1261" s="296"/>
      <c r="C1261" s="343" t="s">
        <v>611</v>
      </c>
      <c r="D1261" s="496">
        <v>19</v>
      </c>
      <c r="E1261" s="606" t="s">
        <v>299</v>
      </c>
      <c r="F1261" s="498">
        <v>8</v>
      </c>
      <c r="G1261" s="496">
        <v>20</v>
      </c>
      <c r="H1261" s="606" t="s">
        <v>299</v>
      </c>
      <c r="I1261" s="498">
        <v>6</v>
      </c>
      <c r="J1261" s="434" t="s">
        <v>300</v>
      </c>
      <c r="K1261" s="434">
        <f>(G1261-D1261)*20+I1261-F1261</f>
        <v>18</v>
      </c>
      <c r="L1261" s="434">
        <v>4.4000000000000004</v>
      </c>
      <c r="M1261" s="434">
        <v>0.2</v>
      </c>
      <c r="N1261" s="340"/>
      <c r="O1261" s="650">
        <f t="shared" si="168"/>
        <v>15.840000000000002</v>
      </c>
      <c r="P1261" s="461"/>
      <c r="Q1261" s="340"/>
      <c r="R1261" s="462">
        <f>O1261</f>
        <v>15.840000000000002</v>
      </c>
      <c r="S1261" s="340" t="s">
        <v>164</v>
      </c>
      <c r="T1261" s="347">
        <v>21</v>
      </c>
      <c r="U1261" s="435" t="s">
        <v>812</v>
      </c>
      <c r="V1261" s="306">
        <f ca="1">V1268</f>
        <v>16.320000000000164</v>
      </c>
      <c r="W1261" s="175"/>
      <c r="X1261" s="175"/>
      <c r="Y1261" s="175"/>
      <c r="Z1261" s="175"/>
      <c r="AA1261" s="175"/>
    </row>
    <row r="1262" spans="1:27" s="175" customFormat="1" hidden="1">
      <c r="A1262" s="1110"/>
      <c r="B1262" s="342"/>
      <c r="C1262" s="339" t="s">
        <v>392</v>
      </c>
      <c r="D1262" s="611"/>
      <c r="E1262" s="612"/>
      <c r="F1262" s="565"/>
      <c r="G1262" s="613"/>
      <c r="H1262" s="612"/>
      <c r="I1262" s="433"/>
      <c r="J1262" s="614" t="s">
        <v>300</v>
      </c>
      <c r="K1262" s="611">
        <v>3.4</v>
      </c>
      <c r="L1262" s="614">
        <v>2</v>
      </c>
      <c r="M1262" s="434">
        <v>0.2</v>
      </c>
      <c r="N1262" s="615">
        <f>K1262*L1262</f>
        <v>6.8</v>
      </c>
      <c r="O1262" s="345"/>
      <c r="P1262" s="350">
        <v>2</v>
      </c>
      <c r="Q1262" s="354"/>
      <c r="R1262" s="356">
        <f>TRUNC(N1262*P1262*M1262-Q1262,3)</f>
        <v>2.72</v>
      </c>
      <c r="S1262" s="340" t="s">
        <v>151</v>
      </c>
      <c r="T1262" s="347">
        <v>22</v>
      </c>
      <c r="U1262" s="435" t="s">
        <v>870</v>
      </c>
      <c r="V1262" s="306">
        <f ca="1">V1268</f>
        <v>16.320000000000164</v>
      </c>
    </row>
    <row r="1263" spans="1:27" s="176" customFormat="1" hidden="1">
      <c r="A1263" s="1110"/>
      <c r="B1263" s="296"/>
      <c r="C1263" s="343" t="s">
        <v>611</v>
      </c>
      <c r="D1263" s="1092">
        <v>25</v>
      </c>
      <c r="E1263" s="1093" t="s">
        <v>299</v>
      </c>
      <c r="F1263" s="1094">
        <v>16</v>
      </c>
      <c r="G1263" s="1092">
        <v>27</v>
      </c>
      <c r="H1263" s="1093" t="s">
        <v>299</v>
      </c>
      <c r="I1263" s="1094">
        <v>0</v>
      </c>
      <c r="J1263" s="434" t="s">
        <v>300</v>
      </c>
      <c r="K1263" s="434">
        <f>(G1263-D1263)*20+I1263-F1263</f>
        <v>24</v>
      </c>
      <c r="L1263" s="434">
        <v>3.2</v>
      </c>
      <c r="M1263" s="434">
        <v>0.2</v>
      </c>
      <c r="N1263" s="340"/>
      <c r="O1263" s="650">
        <f>K1263*L1263*M1263</f>
        <v>15.360000000000003</v>
      </c>
      <c r="P1263" s="461"/>
      <c r="Q1263" s="340"/>
      <c r="R1263" s="462">
        <f>O1263</f>
        <v>15.360000000000003</v>
      </c>
      <c r="S1263" s="340" t="s">
        <v>164</v>
      </c>
      <c r="T1263" s="347">
        <v>23</v>
      </c>
      <c r="U1263" s="435" t="s">
        <v>812</v>
      </c>
      <c r="V1263" s="306" t="e">
        <f>V1270</f>
        <v>#REF!</v>
      </c>
      <c r="W1263" s="175"/>
      <c r="X1263" s="175"/>
      <c r="Y1263" s="175"/>
      <c r="Z1263" s="175"/>
      <c r="AA1263" s="175"/>
    </row>
    <row r="1264" spans="1:27" s="176" customFormat="1" hidden="1">
      <c r="A1264" s="1110"/>
      <c r="B1264" s="1126"/>
      <c r="C1264" s="985"/>
      <c r="D1264" s="1230"/>
      <c r="E1264" s="1231"/>
      <c r="F1264" s="1716"/>
      <c r="G1264" s="1232"/>
      <c r="H1264" s="1231"/>
      <c r="I1264" s="1233"/>
      <c r="J1264" s="1710"/>
      <c r="K1264" s="1710"/>
      <c r="L1264" s="1710"/>
      <c r="M1264" s="1710"/>
      <c r="N1264" s="360"/>
      <c r="O1264" s="1710"/>
      <c r="P1264" s="1599"/>
      <c r="Q1264" s="360"/>
      <c r="R1264" s="1121"/>
      <c r="S1264" s="1136"/>
      <c r="T1264" s="1028"/>
      <c r="U1264" s="1236"/>
      <c r="V1264" s="306"/>
      <c r="W1264" s="175"/>
      <c r="X1264" s="175"/>
      <c r="Y1264" s="175"/>
      <c r="Z1264" s="175"/>
      <c r="AA1264" s="175"/>
    </row>
    <row r="1265" spans="1:27" s="40" customFormat="1" hidden="1">
      <c r="A1265" s="1106"/>
      <c r="B1265" s="645"/>
      <c r="C1265" s="1614"/>
      <c r="D1265" s="2548" t="s">
        <v>257</v>
      </c>
      <c r="E1265" s="2549"/>
      <c r="F1265" s="2549"/>
      <c r="G1265" s="2549"/>
      <c r="H1265" s="2549"/>
      <c r="I1265" s="2550"/>
      <c r="J1265" s="2490">
        <f>VLOOKUP(A1267,'11 - FINANCEIRA'!$A$16:$AE$156,30,FALSE)</f>
        <v>416</v>
      </c>
      <c r="K1265" s="2491"/>
      <c r="L1265" s="590" t="str">
        <f>VLOOKUP(A1267,'11 - FINANCEIRA'!_xlnm.Print_Area,4,FALSE)</f>
        <v>m³</v>
      </c>
      <c r="M1265" s="2561" t="s">
        <v>258</v>
      </c>
      <c r="N1265" s="2562"/>
      <c r="O1265" s="2562"/>
      <c r="P1265" s="2562"/>
      <c r="Q1265" s="2563"/>
      <c r="R1265" s="375">
        <f>SUM(R1252:R1263)</f>
        <v>372.17505000000006</v>
      </c>
      <c r="S1265" s="591" t="str">
        <f>L1265</f>
        <v>m³</v>
      </c>
      <c r="T1265" s="390"/>
      <c r="U1265" s="391"/>
      <c r="V1265" s="174">
        <f>V1266</f>
        <v>0</v>
      </c>
    </row>
    <row r="1266" spans="1:27" s="40" customFormat="1" hidden="1">
      <c r="A1266" s="1106"/>
      <c r="B1266" s="371"/>
      <c r="C1266" s="374"/>
      <c r="D1266" s="2505" t="s">
        <v>259</v>
      </c>
      <c r="E1266" s="2506"/>
      <c r="F1266" s="2506"/>
      <c r="G1266" s="2506"/>
      <c r="H1266" s="2506"/>
      <c r="I1266" s="2507"/>
      <c r="J1266" s="2511">
        <f>R1265/J1265</f>
        <v>0.89465156250000011</v>
      </c>
      <c r="K1266" s="2512"/>
      <c r="L1266" s="2559"/>
      <c r="M1266" s="2561" t="s">
        <v>260</v>
      </c>
      <c r="N1266" s="2562"/>
      <c r="O1266" s="2562"/>
      <c r="P1266" s="2562"/>
      <c r="Q1266" s="2563"/>
      <c r="R1266" s="375">
        <f>VLOOKUP(A1267,'11 - FINANCEIRA'!_xlnm.Print_Area,8,FALSE)</f>
        <v>372.17505000000006</v>
      </c>
      <c r="S1266" s="376" t="str">
        <f>L1265</f>
        <v>m³</v>
      </c>
      <c r="T1266" s="372"/>
      <c r="U1266" s="373"/>
      <c r="V1266" s="174">
        <f>V1267</f>
        <v>0</v>
      </c>
    </row>
    <row r="1267" spans="1:27" s="40" customFormat="1" hidden="1">
      <c r="A1267" s="1106" t="s">
        <v>104</v>
      </c>
      <c r="B1267" s="371"/>
      <c r="C1267" s="377"/>
      <c r="D1267" s="2551"/>
      <c r="E1267" s="2552"/>
      <c r="F1267" s="2552"/>
      <c r="G1267" s="2552"/>
      <c r="H1267" s="2552"/>
      <c r="I1267" s="2553"/>
      <c r="J1267" s="2530"/>
      <c r="K1267" s="2531"/>
      <c r="L1267" s="2560"/>
      <c r="M1267" s="2561" t="s">
        <v>261</v>
      </c>
      <c r="N1267" s="2562"/>
      <c r="O1267" s="2562"/>
      <c r="P1267" s="2562"/>
      <c r="Q1267" s="2563"/>
      <c r="R1267" s="378">
        <f>R1265-R1266</f>
        <v>0</v>
      </c>
      <c r="S1267" s="379" t="str">
        <f>L1265</f>
        <v>m³</v>
      </c>
      <c r="T1267" s="372"/>
      <c r="U1267" s="373"/>
      <c r="V1267" s="174">
        <f>R1267</f>
        <v>0</v>
      </c>
    </row>
    <row r="1268" spans="1:27" s="40" customFormat="1" hidden="1">
      <c r="A1268" s="1106"/>
      <c r="B1268" s="394"/>
      <c r="C1268" s="395"/>
      <c r="D1268" s="396"/>
      <c r="E1268" s="397"/>
      <c r="F1268" s="396"/>
      <c r="G1268" s="396"/>
      <c r="H1268" s="396"/>
      <c r="I1268" s="396"/>
      <c r="J1268" s="398"/>
      <c r="K1268" s="399"/>
      <c r="L1268" s="400"/>
      <c r="M1268" s="401"/>
      <c r="N1268" s="401"/>
      <c r="O1268" s="401"/>
      <c r="P1268" s="401"/>
      <c r="Q1268" s="401"/>
      <c r="R1268" s="402"/>
      <c r="S1268" s="403"/>
      <c r="T1268" s="404"/>
      <c r="U1268" s="405"/>
      <c r="V1268" s="265">
        <f ca="1">SUM(V1250:V1267)</f>
        <v>40.800000000000409</v>
      </c>
    </row>
    <row r="1269" spans="1:27" s="176" customFormat="1" hidden="1">
      <c r="A1269" s="1106"/>
      <c r="B1269" s="2494">
        <f>VLOOKUP(A1284,'11 - FINANCEIRA'!_xlnm.Print_Area,2,FALSE)</f>
        <v>25950</v>
      </c>
      <c r="C1269" s="2498" t="str">
        <f>VLOOKUP(A1284,'11 - FINANCEIRA'!_xlnm.Print_Area,3,FALSE)</f>
        <v xml:space="preserve">Serviço de Bombeamento De Concreto </v>
      </c>
      <c r="D1269" s="2581" t="s">
        <v>242</v>
      </c>
      <c r="E1269" s="2582"/>
      <c r="F1269" s="2582"/>
      <c r="G1269" s="2582"/>
      <c r="H1269" s="2582"/>
      <c r="I1269" s="2583"/>
      <c r="J1269" s="2467" t="s">
        <v>243</v>
      </c>
      <c r="K1269" s="2496" t="s">
        <v>244</v>
      </c>
      <c r="L1269" s="2496" t="s">
        <v>245</v>
      </c>
      <c r="M1269" s="2496" t="s">
        <v>246</v>
      </c>
      <c r="N1269" s="2496" t="s">
        <v>247</v>
      </c>
      <c r="O1269" s="2496" t="s">
        <v>248</v>
      </c>
      <c r="P1269" s="2577" t="s">
        <v>139</v>
      </c>
      <c r="Q1269" s="2496" t="s">
        <v>390</v>
      </c>
      <c r="R1269" s="2577" t="s">
        <v>139</v>
      </c>
      <c r="S1269" s="2496" t="s">
        <v>251</v>
      </c>
      <c r="T1269" s="2496" t="s">
        <v>252</v>
      </c>
      <c r="U1269" s="2586" t="s">
        <v>253</v>
      </c>
      <c r="V1269" s="596" t="e">
        <f>V1270</f>
        <v>#REF!</v>
      </c>
      <c r="W1269" s="175"/>
      <c r="X1269" s="175"/>
      <c r="Y1269" s="175"/>
      <c r="Z1269" s="175"/>
      <c r="AA1269" s="175"/>
    </row>
    <row r="1270" spans="1:27" s="176" customFormat="1" hidden="1">
      <c r="A1270" s="1106"/>
      <c r="B1270" s="2495"/>
      <c r="C1270" s="2499"/>
      <c r="D1270" s="2588" t="s">
        <v>254</v>
      </c>
      <c r="E1270" s="2589"/>
      <c r="F1270" s="2590"/>
      <c r="G1270" s="2591" t="s">
        <v>255</v>
      </c>
      <c r="H1270" s="2592"/>
      <c r="I1270" s="2593"/>
      <c r="J1270" s="2468"/>
      <c r="K1270" s="2497"/>
      <c r="L1270" s="2497"/>
      <c r="M1270" s="2497"/>
      <c r="N1270" s="2497"/>
      <c r="O1270" s="2497"/>
      <c r="P1270" s="2578"/>
      <c r="Q1270" s="2497"/>
      <c r="R1270" s="2578"/>
      <c r="S1270" s="2497"/>
      <c r="T1270" s="2497"/>
      <c r="U1270" s="2587"/>
      <c r="V1270" s="596" t="e">
        <f>V1271</f>
        <v>#REF!</v>
      </c>
      <c r="W1270" s="175"/>
      <c r="X1270" s="175"/>
      <c r="Y1270" s="175"/>
      <c r="Z1270" s="175"/>
      <c r="AA1270" s="175"/>
    </row>
    <row r="1271" spans="1:27" s="176" customFormat="1" hidden="1">
      <c r="A1271" s="1110"/>
      <c r="B1271" s="336"/>
      <c r="C1271" s="266" t="s">
        <v>394</v>
      </c>
      <c r="D1271" s="469">
        <v>0</v>
      </c>
      <c r="E1271" s="605" t="s">
        <v>299</v>
      </c>
      <c r="F1271" s="471">
        <v>14.04</v>
      </c>
      <c r="G1271" s="469">
        <v>11</v>
      </c>
      <c r="H1271" s="605" t="s">
        <v>299</v>
      </c>
      <c r="I1271" s="471">
        <v>10</v>
      </c>
      <c r="J1271" s="489" t="s">
        <v>300</v>
      </c>
      <c r="K1271" s="489">
        <f>SUM(G1271*20+I1271)-(D1271*20+F1271)</f>
        <v>215.96</v>
      </c>
      <c r="L1271" s="489">
        <v>3.8</v>
      </c>
      <c r="M1271" s="555">
        <v>0.12</v>
      </c>
      <c r="N1271" s="275"/>
      <c r="O1271" s="483">
        <f>TRUNC(K1271*L1271*M1271,3)</f>
        <v>98.477000000000004</v>
      </c>
      <c r="P1271" s="338"/>
      <c r="Q1271" s="275"/>
      <c r="R1271" s="346">
        <f>TRUNC(O1271,3)</f>
        <v>98.477000000000004</v>
      </c>
      <c r="S1271" s="406" t="s">
        <v>164</v>
      </c>
      <c r="T1271" s="276">
        <v>6</v>
      </c>
      <c r="U1271" s="335"/>
      <c r="V1271" s="596" t="e">
        <f>V1272</f>
        <v>#REF!</v>
      </c>
      <c r="W1271" s="175"/>
      <c r="X1271" s="175"/>
      <c r="Y1271" s="175"/>
      <c r="Z1271" s="175"/>
      <c r="AA1271" s="175"/>
    </row>
    <row r="1272" spans="1:27" s="176" customFormat="1" hidden="1">
      <c r="A1272" s="1110"/>
      <c r="B1272" s="342"/>
      <c r="C1272" s="547" t="s">
        <v>392</v>
      </c>
      <c r="D1272" s="611"/>
      <c r="E1272" s="612"/>
      <c r="F1272" s="565"/>
      <c r="G1272" s="613"/>
      <c r="H1272" s="612"/>
      <c r="I1272" s="433"/>
      <c r="J1272" s="614" t="s">
        <v>300</v>
      </c>
      <c r="K1272" s="611">
        <v>3.4</v>
      </c>
      <c r="L1272" s="614">
        <v>1</v>
      </c>
      <c r="M1272" s="434">
        <v>0.2</v>
      </c>
      <c r="N1272" s="615">
        <f>K1272*L1272</f>
        <v>3.4</v>
      </c>
      <c r="O1272" s="353"/>
      <c r="P1272" s="614">
        <v>4</v>
      </c>
      <c r="Q1272" s="354">
        <f>(3.14*(0.3)^2)*P1272</f>
        <v>1.1304000000000001</v>
      </c>
      <c r="R1272" s="356">
        <f>TRUNC(N1272*P1272*M1272-Q1272,3)</f>
        <v>1.589</v>
      </c>
      <c r="S1272" s="340" t="s">
        <v>151</v>
      </c>
      <c r="T1272" s="347">
        <v>6</v>
      </c>
      <c r="U1272" s="559" t="s">
        <v>395</v>
      </c>
      <c r="V1272" s="596" t="e">
        <f>V1273</f>
        <v>#REF!</v>
      </c>
      <c r="W1272" s="175"/>
      <c r="X1272" s="175"/>
      <c r="Y1272" s="175"/>
      <c r="Z1272" s="175"/>
      <c r="AA1272" s="175"/>
    </row>
    <row r="1273" spans="1:27" s="597" customFormat="1" hidden="1">
      <c r="A1273" s="1776"/>
      <c r="B1273" s="348"/>
      <c r="C1273" s="547" t="s">
        <v>392</v>
      </c>
      <c r="D1273" s="611"/>
      <c r="E1273" s="612"/>
      <c r="F1273" s="565"/>
      <c r="G1273" s="613"/>
      <c r="H1273" s="612"/>
      <c r="I1273" s="433"/>
      <c r="J1273" s="614" t="s">
        <v>300</v>
      </c>
      <c r="K1273" s="611">
        <v>3.4</v>
      </c>
      <c r="L1273" s="614">
        <v>1</v>
      </c>
      <c r="M1273" s="434">
        <v>0.2</v>
      </c>
      <c r="N1273" s="615">
        <f>K1273*L1273</f>
        <v>3.4</v>
      </c>
      <c r="O1273" s="353"/>
      <c r="P1273" s="614">
        <v>4</v>
      </c>
      <c r="Q1273" s="354">
        <f>(3.14*(0.3)^2)*P1273</f>
        <v>1.1304000000000001</v>
      </c>
      <c r="R1273" s="356">
        <f>TRUNC(N1273*P1273*M1273-Q1273,3)*-1</f>
        <v>-1.589</v>
      </c>
      <c r="S1273" s="340" t="s">
        <v>151</v>
      </c>
      <c r="T1273" s="347">
        <v>7</v>
      </c>
      <c r="U1273" s="559" t="s">
        <v>389</v>
      </c>
      <c r="V1273" s="596" t="e">
        <f>#REF!</f>
        <v>#REF!</v>
      </c>
    </row>
    <row r="1274" spans="1:27" s="176" customFormat="1" hidden="1">
      <c r="A1274" s="1110"/>
      <c r="B1274" s="296"/>
      <c r="C1274" s="339" t="s">
        <v>614</v>
      </c>
      <c r="D1274" s="496">
        <v>9</v>
      </c>
      <c r="E1274" s="606" t="s">
        <v>299</v>
      </c>
      <c r="F1274" s="498">
        <v>0</v>
      </c>
      <c r="G1274" s="496">
        <v>9</v>
      </c>
      <c r="H1274" s="606" t="s">
        <v>299</v>
      </c>
      <c r="I1274" s="498">
        <v>0</v>
      </c>
      <c r="J1274" s="614" t="s">
        <v>300</v>
      </c>
      <c r="K1274" s="546">
        <f>SUM(8.15+8.15)/2</f>
        <v>8.15</v>
      </c>
      <c r="L1274" s="558">
        <f>SUM(11.6+10.85)/2</f>
        <v>11.225</v>
      </c>
      <c r="M1274" s="340">
        <v>0.12</v>
      </c>
      <c r="N1274" s="834"/>
      <c r="O1274" s="434">
        <f t="shared" ref="O1274:O1281" si="170">K1274*L1274*M1274</f>
        <v>10.97805</v>
      </c>
      <c r="P1274" s="461"/>
      <c r="Q1274" s="434"/>
      <c r="R1274" s="616">
        <f t="shared" ref="R1274:R1279" si="171">O1274</f>
        <v>10.97805</v>
      </c>
      <c r="S1274" s="357" t="s">
        <v>151</v>
      </c>
      <c r="T1274" s="347">
        <v>15</v>
      </c>
      <c r="U1274" s="435" t="s">
        <v>612</v>
      </c>
      <c r="V1274" s="306"/>
      <c r="W1274" s="175"/>
      <c r="X1274" s="175"/>
      <c r="Y1274" s="175"/>
      <c r="Z1274" s="175"/>
      <c r="AA1274" s="175"/>
    </row>
    <row r="1275" spans="1:27" s="176" customFormat="1" hidden="1">
      <c r="A1275" s="1110"/>
      <c r="B1275" s="296"/>
      <c r="C1275" s="343" t="s">
        <v>615</v>
      </c>
      <c r="D1275" s="844">
        <v>11</v>
      </c>
      <c r="E1275" s="606" t="s">
        <v>299</v>
      </c>
      <c r="F1275" s="816">
        <v>10</v>
      </c>
      <c r="G1275" s="844">
        <v>14</v>
      </c>
      <c r="H1275" s="845" t="s">
        <v>299</v>
      </c>
      <c r="I1275" s="816">
        <v>10</v>
      </c>
      <c r="J1275" s="614" t="s">
        <v>300</v>
      </c>
      <c r="K1275" s="434">
        <f>SUM(G1275*20+I1275)-(D1275*20+F1275)</f>
        <v>60</v>
      </c>
      <c r="L1275" s="558">
        <v>3.4</v>
      </c>
      <c r="M1275" s="954">
        <v>0.2</v>
      </c>
      <c r="N1275" s="477"/>
      <c r="O1275" s="650">
        <f t="shared" si="170"/>
        <v>40.800000000000004</v>
      </c>
      <c r="P1275" s="955"/>
      <c r="Q1275" s="650"/>
      <c r="R1275" s="462">
        <f t="shared" si="171"/>
        <v>40.800000000000004</v>
      </c>
      <c r="S1275" s="340" t="s">
        <v>151</v>
      </c>
      <c r="T1275" s="347">
        <v>15</v>
      </c>
      <c r="U1275" s="508" t="s">
        <v>613</v>
      </c>
      <c r="V1275" s="306"/>
      <c r="W1275" s="175"/>
      <c r="X1275" s="175"/>
      <c r="Y1275" s="175"/>
      <c r="Z1275" s="175"/>
      <c r="AA1275" s="175"/>
    </row>
    <row r="1276" spans="1:27" s="176" customFormat="1" hidden="1">
      <c r="A1276" s="1110"/>
      <c r="B1276" s="296"/>
      <c r="C1276" s="343" t="s">
        <v>611</v>
      </c>
      <c r="D1276" s="844">
        <v>14</v>
      </c>
      <c r="E1276" s="606" t="s">
        <v>299</v>
      </c>
      <c r="F1276" s="816">
        <v>10</v>
      </c>
      <c r="G1276" s="844">
        <v>19</v>
      </c>
      <c r="H1276" s="845" t="s">
        <v>299</v>
      </c>
      <c r="I1276" s="816">
        <v>10</v>
      </c>
      <c r="J1276" s="614" t="s">
        <v>300</v>
      </c>
      <c r="K1276" s="434">
        <f>SUM(G1276*20+I1276)-(D1276*20+F1276)</f>
        <v>100</v>
      </c>
      <c r="L1276" s="558">
        <v>4.4000000000000004</v>
      </c>
      <c r="M1276" s="954">
        <v>0.2</v>
      </c>
      <c r="N1276" s="477"/>
      <c r="O1276" s="650">
        <f t="shared" si="170"/>
        <v>88.000000000000014</v>
      </c>
      <c r="P1276" s="955"/>
      <c r="Q1276" s="650"/>
      <c r="R1276" s="462">
        <f t="shared" si="171"/>
        <v>88.000000000000014</v>
      </c>
      <c r="S1276" s="340" t="s">
        <v>151</v>
      </c>
      <c r="T1276" s="347">
        <v>16</v>
      </c>
      <c r="U1276" s="508" t="s">
        <v>613</v>
      </c>
      <c r="V1276" s="306"/>
      <c r="W1276" s="175"/>
      <c r="X1276" s="175"/>
      <c r="Y1276" s="175"/>
      <c r="Z1276" s="175"/>
      <c r="AA1276" s="175"/>
    </row>
    <row r="1277" spans="1:27" s="176" customFormat="1" hidden="1">
      <c r="A1277" s="1110"/>
      <c r="B1277" s="296"/>
      <c r="C1277" s="343" t="s">
        <v>653</v>
      </c>
      <c r="D1277" s="844">
        <v>11</v>
      </c>
      <c r="E1277" s="606" t="s">
        <v>299</v>
      </c>
      <c r="F1277" s="816">
        <v>10</v>
      </c>
      <c r="G1277" s="844">
        <v>14</v>
      </c>
      <c r="H1277" s="845" t="s">
        <v>299</v>
      </c>
      <c r="I1277" s="816">
        <v>10</v>
      </c>
      <c r="J1277" s="614" t="s">
        <v>300</v>
      </c>
      <c r="K1277" s="434">
        <f>SUM(G1277*20+I1277)-(D1277*20+F1277)</f>
        <v>60</v>
      </c>
      <c r="L1277" s="558">
        <v>1</v>
      </c>
      <c r="M1277" s="954">
        <v>0.2</v>
      </c>
      <c r="N1277" s="477"/>
      <c r="O1277" s="650">
        <f t="shared" si="170"/>
        <v>12</v>
      </c>
      <c r="P1277" s="955"/>
      <c r="Q1277" s="650"/>
      <c r="R1277" s="462">
        <f t="shared" si="171"/>
        <v>12</v>
      </c>
      <c r="S1277" s="340" t="s">
        <v>151</v>
      </c>
      <c r="T1277" s="347">
        <v>16</v>
      </c>
      <c r="U1277" s="508" t="s">
        <v>652</v>
      </c>
      <c r="V1277" s="306"/>
      <c r="W1277" s="175"/>
      <c r="X1277" s="175"/>
      <c r="Y1277" s="175"/>
      <c r="Z1277" s="175"/>
      <c r="AA1277" s="175"/>
    </row>
    <row r="1278" spans="1:27" s="176" customFormat="1" hidden="1">
      <c r="A1278" s="1110"/>
      <c r="B1278" s="296"/>
      <c r="C1278" s="343" t="s">
        <v>611</v>
      </c>
      <c r="D1278" s="844">
        <v>19</v>
      </c>
      <c r="E1278" s="606" t="s">
        <v>299</v>
      </c>
      <c r="F1278" s="816">
        <v>10</v>
      </c>
      <c r="G1278" s="844">
        <v>22</v>
      </c>
      <c r="H1278" s="845" t="s">
        <v>299</v>
      </c>
      <c r="I1278" s="816">
        <v>10</v>
      </c>
      <c r="J1278" s="614" t="s">
        <v>300</v>
      </c>
      <c r="K1278" s="434">
        <f>SUM(G1278*20+I1278)-(D1278*20+F1278)</f>
        <v>60</v>
      </c>
      <c r="L1278" s="558">
        <v>4.4000000000000004</v>
      </c>
      <c r="M1278" s="954">
        <v>0.2</v>
      </c>
      <c r="N1278" s="477"/>
      <c r="O1278" s="650">
        <f t="shared" si="170"/>
        <v>52.800000000000004</v>
      </c>
      <c r="P1278" s="955"/>
      <c r="Q1278" s="650"/>
      <c r="R1278" s="462">
        <f t="shared" si="171"/>
        <v>52.800000000000004</v>
      </c>
      <c r="S1278" s="340" t="s">
        <v>151</v>
      </c>
      <c r="T1278" s="347">
        <v>17</v>
      </c>
      <c r="U1278" s="508" t="s">
        <v>613</v>
      </c>
      <c r="V1278" s="306"/>
      <c r="W1278" s="175"/>
      <c r="X1278" s="175"/>
      <c r="Y1278" s="175"/>
      <c r="Z1278" s="175"/>
      <c r="AA1278" s="175"/>
    </row>
    <row r="1279" spans="1:27" s="176" customFormat="1" hidden="1">
      <c r="A1279" s="1110"/>
      <c r="B1279" s="296"/>
      <c r="C1279" s="343" t="s">
        <v>611</v>
      </c>
      <c r="D1279" s="844">
        <f>G1278</f>
        <v>22</v>
      </c>
      <c r="E1279" s="606" t="s">
        <v>299</v>
      </c>
      <c r="F1279" s="816">
        <f>I1278</f>
        <v>10</v>
      </c>
      <c r="G1279" s="844">
        <f>G1260</f>
        <v>24</v>
      </c>
      <c r="H1279" s="845" t="s">
        <v>299</v>
      </c>
      <c r="I1279" s="816">
        <f>I1260</f>
        <v>10</v>
      </c>
      <c r="J1279" s="614" t="s">
        <v>300</v>
      </c>
      <c r="K1279" s="434">
        <f>SUM(G1279*20+I1279)-(D1279*20+F1279)</f>
        <v>40</v>
      </c>
      <c r="L1279" s="558">
        <v>4.4000000000000004</v>
      </c>
      <c r="M1279" s="954">
        <v>0.2</v>
      </c>
      <c r="N1279" s="477"/>
      <c r="O1279" s="650">
        <f t="shared" si="170"/>
        <v>35.200000000000003</v>
      </c>
      <c r="P1279" s="955"/>
      <c r="Q1279" s="650"/>
      <c r="R1279" s="462">
        <f t="shared" si="171"/>
        <v>35.200000000000003</v>
      </c>
      <c r="S1279" s="340" t="s">
        <v>151</v>
      </c>
      <c r="T1279" s="347">
        <v>18</v>
      </c>
      <c r="U1279" s="508" t="s">
        <v>613</v>
      </c>
      <c r="V1279" s="306"/>
      <c r="W1279" s="175"/>
      <c r="X1279" s="175"/>
      <c r="Y1279" s="175"/>
      <c r="Z1279" s="175"/>
      <c r="AA1279" s="175"/>
    </row>
    <row r="1280" spans="1:27" s="176" customFormat="1" hidden="1">
      <c r="A1280" s="1110"/>
      <c r="B1280" s="296"/>
      <c r="C1280" s="343" t="s">
        <v>611</v>
      </c>
      <c r="D1280" s="496">
        <v>19</v>
      </c>
      <c r="E1280" s="606" t="s">
        <v>299</v>
      </c>
      <c r="F1280" s="498">
        <v>8</v>
      </c>
      <c r="G1280" s="496">
        <v>20</v>
      </c>
      <c r="H1280" s="606" t="s">
        <v>299</v>
      </c>
      <c r="I1280" s="498">
        <v>6</v>
      </c>
      <c r="J1280" s="434" t="s">
        <v>300</v>
      </c>
      <c r="K1280" s="434">
        <f>(G1280-D1280)*20+I1280-F1280</f>
        <v>18</v>
      </c>
      <c r="L1280" s="434">
        <v>4.4000000000000004</v>
      </c>
      <c r="M1280" s="434">
        <v>0.2</v>
      </c>
      <c r="N1280" s="340"/>
      <c r="O1280" s="650">
        <f t="shared" si="170"/>
        <v>15.840000000000002</v>
      </c>
      <c r="P1280" s="461"/>
      <c r="Q1280" s="340"/>
      <c r="R1280" s="462">
        <f>O1280</f>
        <v>15.840000000000002</v>
      </c>
      <c r="S1280" s="340" t="s">
        <v>164</v>
      </c>
      <c r="T1280" s="347">
        <v>21</v>
      </c>
      <c r="U1280" s="435" t="s">
        <v>605</v>
      </c>
      <c r="V1280" s="306" t="e">
        <f>V1285</f>
        <v>#REF!</v>
      </c>
      <c r="W1280" s="175"/>
      <c r="X1280" s="175"/>
      <c r="Y1280" s="175"/>
      <c r="Z1280" s="175"/>
      <c r="AA1280" s="175"/>
    </row>
    <row r="1281" spans="1:27" s="176" customFormat="1" hidden="1">
      <c r="A1281" s="1110"/>
      <c r="B1281" s="610"/>
      <c r="C1281" s="1518" t="s">
        <v>611</v>
      </c>
      <c r="D1281" s="1667">
        <v>25</v>
      </c>
      <c r="E1281" s="1668" t="s">
        <v>299</v>
      </c>
      <c r="F1281" s="1669">
        <v>16</v>
      </c>
      <c r="G1281" s="1667">
        <v>27</v>
      </c>
      <c r="H1281" s="1668" t="s">
        <v>299</v>
      </c>
      <c r="I1281" s="1669">
        <v>0</v>
      </c>
      <c r="J1281" s="546" t="s">
        <v>300</v>
      </c>
      <c r="K1281" s="546">
        <f>(G1281-D1281)*20+I1281-F1281</f>
        <v>24</v>
      </c>
      <c r="L1281" s="546">
        <v>3.2</v>
      </c>
      <c r="M1281" s="546">
        <v>0.2</v>
      </c>
      <c r="N1281" s="357"/>
      <c r="O1281" s="1670">
        <f t="shared" si="170"/>
        <v>15.360000000000003</v>
      </c>
      <c r="P1281" s="619"/>
      <c r="Q1281" s="357"/>
      <c r="R1281" s="616">
        <f>O1281</f>
        <v>15.360000000000003</v>
      </c>
      <c r="S1281" s="357" t="s">
        <v>164</v>
      </c>
      <c r="T1281" s="355">
        <v>23</v>
      </c>
      <c r="U1281" s="559" t="s">
        <v>812</v>
      </c>
      <c r="V1281" s="306">
        <f>V1287</f>
        <v>0</v>
      </c>
      <c r="W1281" s="175"/>
      <c r="X1281" s="175"/>
      <c r="Y1281" s="175"/>
      <c r="Z1281" s="175"/>
      <c r="AA1281" s="175"/>
    </row>
    <row r="1282" spans="1:27" s="40" customFormat="1" hidden="1">
      <c r="A1282" s="1777"/>
      <c r="B1282" s="645"/>
      <c r="C1282" s="1614"/>
      <c r="D1282" s="2548" t="s">
        <v>257</v>
      </c>
      <c r="E1282" s="2549"/>
      <c r="F1282" s="2549"/>
      <c r="G1282" s="2549"/>
      <c r="H1282" s="2549"/>
      <c r="I1282" s="2550"/>
      <c r="J1282" s="2490">
        <f>VLOOKUP(A1284,'11 - FINANCEIRA'!$A$16:$AE$156,30,FALSE)</f>
        <v>416</v>
      </c>
      <c r="K1282" s="2491"/>
      <c r="L1282" s="590" t="str">
        <f>VLOOKUP(A1284,'11 - FINANCEIRA'!_xlnm.Print_Area,4,FALSE)</f>
        <v>m³</v>
      </c>
      <c r="M1282" s="2561" t="s">
        <v>258</v>
      </c>
      <c r="N1282" s="2562"/>
      <c r="O1282" s="2562"/>
      <c r="P1282" s="2562"/>
      <c r="Q1282" s="2563"/>
      <c r="R1282" s="375">
        <f>SUM(R1271:R1281)</f>
        <v>369.45505000000003</v>
      </c>
      <c r="S1282" s="591" t="str">
        <f>L1282</f>
        <v>m³</v>
      </c>
      <c r="T1282" s="390"/>
      <c r="U1282" s="391"/>
      <c r="V1282" s="306">
        <f>V1283</f>
        <v>0</v>
      </c>
    </row>
    <row r="1283" spans="1:27" s="40" customFormat="1" hidden="1">
      <c r="A1283" s="1106"/>
      <c r="B1283" s="371"/>
      <c r="C1283" s="374"/>
      <c r="D1283" s="2505" t="s">
        <v>259</v>
      </c>
      <c r="E1283" s="2506"/>
      <c r="F1283" s="2506"/>
      <c r="G1283" s="2506"/>
      <c r="H1283" s="2506"/>
      <c r="I1283" s="2507"/>
      <c r="J1283" s="2511">
        <f>R1282/J1282</f>
        <v>0.8881131009615385</v>
      </c>
      <c r="K1283" s="2512"/>
      <c r="L1283" s="2559"/>
      <c r="M1283" s="2561" t="s">
        <v>260</v>
      </c>
      <c r="N1283" s="2562"/>
      <c r="O1283" s="2562"/>
      <c r="P1283" s="2562"/>
      <c r="Q1283" s="2563"/>
      <c r="R1283" s="375">
        <f>VLOOKUP(A1284,'11 - FINANCEIRA'!_xlnm.Print_Area,8,FALSE)</f>
        <v>369.45505000000003</v>
      </c>
      <c r="S1283" s="376" t="str">
        <f>L1282</f>
        <v>m³</v>
      </c>
      <c r="T1283" s="372"/>
      <c r="U1283" s="373"/>
      <c r="V1283" s="174">
        <f>V1284</f>
        <v>0</v>
      </c>
    </row>
    <row r="1284" spans="1:27" s="40" customFormat="1" hidden="1">
      <c r="A1284" s="1106" t="s">
        <v>105</v>
      </c>
      <c r="B1284" s="371"/>
      <c r="C1284" s="377"/>
      <c r="D1284" s="2551"/>
      <c r="E1284" s="2552"/>
      <c r="F1284" s="2552"/>
      <c r="G1284" s="2552"/>
      <c r="H1284" s="2552"/>
      <c r="I1284" s="2553"/>
      <c r="J1284" s="2530"/>
      <c r="K1284" s="2531"/>
      <c r="L1284" s="2560"/>
      <c r="M1284" s="2561" t="s">
        <v>261</v>
      </c>
      <c r="N1284" s="2562"/>
      <c r="O1284" s="2562"/>
      <c r="P1284" s="2562"/>
      <c r="Q1284" s="2563"/>
      <c r="R1284" s="378">
        <f>R1282-R1283</f>
        <v>0</v>
      </c>
      <c r="S1284" s="379" t="str">
        <f>L1282</f>
        <v>m³</v>
      </c>
      <c r="T1284" s="372"/>
      <c r="U1284" s="373"/>
      <c r="V1284" s="174">
        <f>R1284</f>
        <v>0</v>
      </c>
    </row>
    <row r="1285" spans="1:27" s="40" customFormat="1" hidden="1">
      <c r="A1285" s="1106"/>
      <c r="B1285" s="394"/>
      <c r="C1285" s="395"/>
      <c r="D1285" s="396"/>
      <c r="E1285" s="397"/>
      <c r="F1285" s="396"/>
      <c r="G1285" s="396"/>
      <c r="H1285" s="396"/>
      <c r="I1285" s="396"/>
      <c r="J1285" s="398"/>
      <c r="K1285" s="399"/>
      <c r="L1285" s="400"/>
      <c r="M1285" s="401"/>
      <c r="N1285" s="401"/>
      <c r="O1285" s="401"/>
      <c r="P1285" s="401"/>
      <c r="Q1285" s="401"/>
      <c r="R1285" s="402"/>
      <c r="S1285" s="403"/>
      <c r="T1285" s="404"/>
      <c r="U1285" s="405"/>
      <c r="V1285" s="265" t="e">
        <f>SUM(V1269:V1284)</f>
        <v>#REF!</v>
      </c>
    </row>
    <row r="1286" spans="1:27" s="176" customFormat="1" hidden="1">
      <c r="A1286" s="1106"/>
      <c r="B1286" s="2463">
        <f>VLOOKUP(A1302,'11 - FINANCEIRA'!_xlnm.Print_Area,2,FALSE)</f>
        <v>407819</v>
      </c>
      <c r="C1286" s="2503" t="str">
        <f>VLOOKUP(A1302,'11 - FINANCEIRA'!_xlnm.Print_Area,3,FALSE)</f>
        <v>Armação em aço CA-50 - fornecimento, preparo e colocação</v>
      </c>
      <c r="D1286" s="2472" t="s">
        <v>242</v>
      </c>
      <c r="E1286" s="2473"/>
      <c r="F1286" s="2473"/>
      <c r="G1286" s="2473"/>
      <c r="H1286" s="2473"/>
      <c r="I1286" s="2474"/>
      <c r="J1286" s="2467" t="s">
        <v>243</v>
      </c>
      <c r="K1286" s="2467" t="s">
        <v>244</v>
      </c>
      <c r="L1286" s="2467" t="s">
        <v>245</v>
      </c>
      <c r="M1286" s="2467" t="s">
        <v>246</v>
      </c>
      <c r="N1286" s="2467" t="s">
        <v>247</v>
      </c>
      <c r="O1286" s="2467" t="s">
        <v>939</v>
      </c>
      <c r="P1286" s="409" t="s">
        <v>312</v>
      </c>
      <c r="Q1286" s="2579" t="s">
        <v>139</v>
      </c>
      <c r="R1286" s="2579" t="s">
        <v>139</v>
      </c>
      <c r="S1286" s="2467" t="s">
        <v>251</v>
      </c>
      <c r="T1286" s="2467" t="s">
        <v>252</v>
      </c>
      <c r="U1286" s="2584" t="s">
        <v>253</v>
      </c>
      <c r="V1286" s="306">
        <f t="shared" ref="V1286:V1301" si="172">V1287</f>
        <v>0</v>
      </c>
      <c r="W1286" s="175"/>
      <c r="X1286" s="175"/>
      <c r="Y1286" s="175"/>
      <c r="Z1286" s="175"/>
      <c r="AA1286" s="175"/>
    </row>
    <row r="1287" spans="1:27" s="176" customFormat="1" hidden="1">
      <c r="A1287" s="1106"/>
      <c r="B1287" s="2464" t="e">
        <f>LEFT(#REF!,5)</f>
        <v>#REF!</v>
      </c>
      <c r="C1287" s="2504" t="e">
        <f>VLOOKUP(LEFT(#REF!,5),'11 - FINANCEIRA'!_xlnm.Print_Area,2,FALSE)</f>
        <v>#REF!</v>
      </c>
      <c r="D1287" s="2475" t="s">
        <v>254</v>
      </c>
      <c r="E1287" s="2476"/>
      <c r="F1287" s="2477"/>
      <c r="G1287" s="2469" t="s">
        <v>255</v>
      </c>
      <c r="H1287" s="2470"/>
      <c r="I1287" s="2471"/>
      <c r="J1287" s="2468"/>
      <c r="K1287" s="2468"/>
      <c r="L1287" s="2468"/>
      <c r="M1287" s="2468"/>
      <c r="N1287" s="2468"/>
      <c r="O1287" s="2468"/>
      <c r="P1287" s="410" t="s">
        <v>396</v>
      </c>
      <c r="Q1287" s="2580"/>
      <c r="R1287" s="2580"/>
      <c r="S1287" s="2468"/>
      <c r="T1287" s="2468"/>
      <c r="U1287" s="2585"/>
      <c r="V1287" s="306">
        <f t="shared" si="172"/>
        <v>0</v>
      </c>
      <c r="W1287" s="175"/>
      <c r="X1287" s="175"/>
      <c r="Y1287" s="175"/>
      <c r="Z1287" s="175"/>
      <c r="AA1287" s="175"/>
    </row>
    <row r="1288" spans="1:27" s="176" customFormat="1" hidden="1">
      <c r="A1288" s="1110"/>
      <c r="B1288" s="452"/>
      <c r="C1288" s="622" t="s">
        <v>654</v>
      </c>
      <c r="D1288" s="623"/>
      <c r="E1288" s="624"/>
      <c r="F1288" s="625"/>
      <c r="G1288" s="623"/>
      <c r="H1288" s="624"/>
      <c r="I1288" s="625"/>
      <c r="J1288" s="558" t="s">
        <v>300</v>
      </c>
      <c r="K1288" s="623">
        <f>5.56*5</f>
        <v>27.799999999999997</v>
      </c>
      <c r="L1288" s="626"/>
      <c r="M1288" s="627"/>
      <c r="N1288" s="628">
        <f t="shared" ref="N1288:N1293" si="173">Q1288*K1288</f>
        <v>111.19999999999999</v>
      </c>
      <c r="O1288" s="629"/>
      <c r="P1288" s="626">
        <v>0.96299999999999997</v>
      </c>
      <c r="Q1288" s="558">
        <v>4</v>
      </c>
      <c r="R1288" s="630">
        <f>TRUNC(N1288*P1288,3)</f>
        <v>107.08499999999999</v>
      </c>
      <c r="S1288" s="631" t="s">
        <v>195</v>
      </c>
      <c r="T1288" s="632">
        <v>6</v>
      </c>
      <c r="U1288" s="633" t="s">
        <v>398</v>
      </c>
      <c r="V1288" s="306">
        <f t="shared" si="172"/>
        <v>0</v>
      </c>
      <c r="W1288" s="175"/>
      <c r="X1288" s="175"/>
      <c r="Y1288" s="175"/>
      <c r="Z1288" s="175"/>
      <c r="AA1288" s="175"/>
    </row>
    <row r="1289" spans="1:27" s="176" customFormat="1" hidden="1">
      <c r="A1289" s="1110"/>
      <c r="B1289" s="452"/>
      <c r="C1289" s="622" t="s">
        <v>554</v>
      </c>
      <c r="D1289" s="623"/>
      <c r="E1289" s="624"/>
      <c r="F1289" s="625"/>
      <c r="G1289" s="623"/>
      <c r="H1289" s="624"/>
      <c r="I1289" s="625"/>
      <c r="J1289" s="558" t="s">
        <v>300</v>
      </c>
      <c r="K1289" s="634">
        <f>2.5*4</f>
        <v>10</v>
      </c>
      <c r="L1289" s="626"/>
      <c r="M1289" s="627"/>
      <c r="N1289" s="628">
        <f t="shared" si="173"/>
        <v>40</v>
      </c>
      <c r="O1289" s="629"/>
      <c r="P1289" s="626">
        <v>0.96299999999999997</v>
      </c>
      <c r="Q1289" s="558">
        <v>4</v>
      </c>
      <c r="R1289" s="630">
        <f>TRUNC(N1289*P1289,3)</f>
        <v>38.520000000000003</v>
      </c>
      <c r="S1289" s="631" t="s">
        <v>195</v>
      </c>
      <c r="T1289" s="632">
        <v>6</v>
      </c>
      <c r="U1289" s="633" t="s">
        <v>399</v>
      </c>
      <c r="V1289" s="306">
        <f t="shared" si="172"/>
        <v>0</v>
      </c>
      <c r="W1289" s="175"/>
      <c r="X1289" s="175"/>
      <c r="Y1289" s="175"/>
      <c r="Z1289" s="175"/>
      <c r="AA1289" s="175"/>
    </row>
    <row r="1290" spans="1:27" s="176" customFormat="1" hidden="1">
      <c r="A1290" s="1110"/>
      <c r="B1290" s="452"/>
      <c r="C1290" s="635" t="s">
        <v>400</v>
      </c>
      <c r="D1290" s="623"/>
      <c r="E1290" s="624"/>
      <c r="F1290" s="625"/>
      <c r="G1290" s="623"/>
      <c r="H1290" s="624"/>
      <c r="I1290" s="625"/>
      <c r="J1290" s="558" t="s">
        <v>300</v>
      </c>
      <c r="K1290" s="634">
        <f>0.92*4</f>
        <v>3.68</v>
      </c>
      <c r="L1290" s="626"/>
      <c r="M1290" s="627"/>
      <c r="N1290" s="628">
        <f t="shared" si="173"/>
        <v>14.72</v>
      </c>
      <c r="O1290" s="629"/>
      <c r="P1290" s="626">
        <v>0.96299999999999997</v>
      </c>
      <c r="Q1290" s="558">
        <v>4</v>
      </c>
      <c r="R1290" s="630">
        <f>TRUNC(N1290*P1290,3)</f>
        <v>14.175000000000001</v>
      </c>
      <c r="S1290" s="631" t="s">
        <v>195</v>
      </c>
      <c r="T1290" s="632">
        <v>6</v>
      </c>
      <c r="U1290" s="633" t="s">
        <v>399</v>
      </c>
      <c r="V1290" s="306">
        <f t="shared" si="172"/>
        <v>0</v>
      </c>
      <c r="W1290" s="175"/>
      <c r="X1290" s="175"/>
      <c r="Y1290" s="175"/>
      <c r="Z1290" s="175"/>
      <c r="AA1290" s="175"/>
    </row>
    <row r="1291" spans="1:27" s="176" customFormat="1" hidden="1">
      <c r="A1291" s="1110"/>
      <c r="B1291" s="452"/>
      <c r="C1291" s="622" t="s">
        <v>397</v>
      </c>
      <c r="D1291" s="623"/>
      <c r="E1291" s="624"/>
      <c r="F1291" s="625"/>
      <c r="G1291" s="623"/>
      <c r="H1291" s="624"/>
      <c r="I1291" s="625"/>
      <c r="J1291" s="558" t="s">
        <v>300</v>
      </c>
      <c r="K1291" s="623">
        <f>5.56*5</f>
        <v>27.799999999999997</v>
      </c>
      <c r="L1291" s="626"/>
      <c r="M1291" s="627"/>
      <c r="N1291" s="628">
        <f t="shared" si="173"/>
        <v>111.19999999999999</v>
      </c>
      <c r="O1291" s="629"/>
      <c r="P1291" s="626">
        <v>0.96299999999999997</v>
      </c>
      <c r="Q1291" s="558">
        <v>4</v>
      </c>
      <c r="R1291" s="630">
        <f>TRUNC(N1291*P1291,3)*-1</f>
        <v>-107.08499999999999</v>
      </c>
      <c r="S1291" s="631" t="s">
        <v>195</v>
      </c>
      <c r="T1291" s="632">
        <v>7</v>
      </c>
      <c r="U1291" s="633" t="s">
        <v>389</v>
      </c>
      <c r="V1291" s="306">
        <f t="shared" si="172"/>
        <v>0</v>
      </c>
      <c r="W1291" s="175"/>
      <c r="X1291" s="175"/>
      <c r="Y1291" s="175"/>
      <c r="Z1291" s="175"/>
      <c r="AA1291" s="175"/>
    </row>
    <row r="1292" spans="1:27" s="176" customFormat="1" hidden="1">
      <c r="A1292" s="1110"/>
      <c r="B1292" s="452"/>
      <c r="C1292" s="622" t="s">
        <v>554</v>
      </c>
      <c r="D1292" s="623"/>
      <c r="E1292" s="624"/>
      <c r="F1292" s="625"/>
      <c r="G1292" s="623"/>
      <c r="H1292" s="624"/>
      <c r="I1292" s="625"/>
      <c r="J1292" s="558" t="s">
        <v>300</v>
      </c>
      <c r="K1292" s="634">
        <f>2.5*4</f>
        <v>10</v>
      </c>
      <c r="L1292" s="626"/>
      <c r="M1292" s="627"/>
      <c r="N1292" s="628">
        <f t="shared" si="173"/>
        <v>40</v>
      </c>
      <c r="O1292" s="629"/>
      <c r="P1292" s="626">
        <v>0.96299999999999997</v>
      </c>
      <c r="Q1292" s="558">
        <v>4</v>
      </c>
      <c r="R1292" s="630">
        <f>TRUNC(N1292*P1292,3)*-1</f>
        <v>-38.520000000000003</v>
      </c>
      <c r="S1292" s="631" t="s">
        <v>195</v>
      </c>
      <c r="T1292" s="632">
        <v>7</v>
      </c>
      <c r="U1292" s="633" t="s">
        <v>389</v>
      </c>
      <c r="V1292" s="306">
        <f t="shared" si="172"/>
        <v>0</v>
      </c>
      <c r="W1292" s="175"/>
      <c r="X1292" s="175"/>
      <c r="Y1292" s="175"/>
      <c r="Z1292" s="175"/>
      <c r="AA1292" s="175"/>
    </row>
    <row r="1293" spans="1:27" s="176" customFormat="1" hidden="1">
      <c r="A1293" s="1110"/>
      <c r="B1293" s="452"/>
      <c r="C1293" s="635" t="s">
        <v>400</v>
      </c>
      <c r="D1293" s="623"/>
      <c r="E1293" s="624"/>
      <c r="F1293" s="625"/>
      <c r="G1293" s="623"/>
      <c r="H1293" s="624"/>
      <c r="I1293" s="625"/>
      <c r="J1293" s="558" t="s">
        <v>300</v>
      </c>
      <c r="K1293" s="634">
        <f>0.92*4</f>
        <v>3.68</v>
      </c>
      <c r="L1293" s="626"/>
      <c r="M1293" s="627"/>
      <c r="N1293" s="628">
        <f t="shared" si="173"/>
        <v>14.72</v>
      </c>
      <c r="O1293" s="629"/>
      <c r="P1293" s="626">
        <v>0.96299999999999997</v>
      </c>
      <c r="Q1293" s="558">
        <v>4</v>
      </c>
      <c r="R1293" s="630">
        <f>TRUNC(N1293*P1293,3)*-1</f>
        <v>-14.175000000000001</v>
      </c>
      <c r="S1293" s="631" t="s">
        <v>195</v>
      </c>
      <c r="T1293" s="632">
        <v>7</v>
      </c>
      <c r="U1293" s="633" t="s">
        <v>389</v>
      </c>
      <c r="V1293" s="306">
        <f>V1296</f>
        <v>0</v>
      </c>
      <c r="W1293" s="175"/>
      <c r="X1293" s="175"/>
      <c r="Y1293" s="175"/>
      <c r="Z1293" s="175"/>
      <c r="AA1293" s="175"/>
    </row>
    <row r="1294" spans="1:27" s="176" customFormat="1" hidden="1">
      <c r="A1294" s="1110"/>
      <c r="B1294" s="452"/>
      <c r="C1294" s="644" t="s">
        <v>660</v>
      </c>
      <c r="D1294" s="496">
        <v>19</v>
      </c>
      <c r="E1294" s="606" t="s">
        <v>299</v>
      </c>
      <c r="F1294" s="498">
        <v>8</v>
      </c>
      <c r="G1294" s="496">
        <v>20</v>
      </c>
      <c r="H1294" s="606" t="s">
        <v>299</v>
      </c>
      <c r="I1294" s="498">
        <v>6</v>
      </c>
      <c r="J1294" s="650" t="s">
        <v>300</v>
      </c>
      <c r="K1294" s="434">
        <f t="shared" ref="K1294:K1299" si="174">SUM(G1294*20+I1294)-(D1294*20+F1294)</f>
        <v>18</v>
      </c>
      <c r="L1294" s="626"/>
      <c r="M1294" s="627"/>
      <c r="N1294" s="628"/>
      <c r="O1294" s="629"/>
      <c r="P1294" s="629">
        <v>0.96299999999999997</v>
      </c>
      <c r="Q1294" s="614">
        <f>K1294*2</f>
        <v>36</v>
      </c>
      <c r="R1294" s="630">
        <f>P1294*Q1294</f>
        <v>34.667999999999999</v>
      </c>
      <c r="S1294" s="631" t="s">
        <v>618</v>
      </c>
      <c r="T1294" s="632">
        <v>21</v>
      </c>
      <c r="U1294" s="492"/>
      <c r="V1294" s="306"/>
      <c r="W1294" s="175"/>
      <c r="X1294" s="175"/>
      <c r="Y1294" s="175"/>
      <c r="Z1294" s="175"/>
      <c r="AA1294" s="175"/>
    </row>
    <row r="1295" spans="1:27" s="176" customFormat="1" hidden="1">
      <c r="A1295" s="1110"/>
      <c r="B1295" s="452"/>
      <c r="C1295" s="622" t="s">
        <v>405</v>
      </c>
      <c r="D1295" s="496">
        <v>19</v>
      </c>
      <c r="E1295" s="606" t="s">
        <v>299</v>
      </c>
      <c r="F1295" s="498">
        <v>8</v>
      </c>
      <c r="G1295" s="496">
        <v>20</v>
      </c>
      <c r="H1295" s="606" t="s">
        <v>299</v>
      </c>
      <c r="I1295" s="498">
        <v>6</v>
      </c>
      <c r="J1295" s="558" t="s">
        <v>300</v>
      </c>
      <c r="K1295" s="434">
        <f t="shared" si="174"/>
        <v>18</v>
      </c>
      <c r="L1295" s="634"/>
      <c r="M1295" s="631"/>
      <c r="N1295" s="642"/>
      <c r="O1295" s="631"/>
      <c r="P1295" s="827">
        <v>0.73499999999999999</v>
      </c>
      <c r="Q1295" s="558">
        <f>SUM(K1295/0.7)*3</f>
        <v>77.142857142857139</v>
      </c>
      <c r="R1295" s="643">
        <f>TRUNC(Q1295*P1295,3)</f>
        <v>56.7</v>
      </c>
      <c r="S1295" s="631" t="s">
        <v>195</v>
      </c>
      <c r="T1295" s="539">
        <v>21</v>
      </c>
      <c r="U1295" s="492"/>
      <c r="V1295" s="306">
        <f>V1296</f>
        <v>0</v>
      </c>
      <c r="W1295" s="175"/>
      <c r="X1295" s="175"/>
      <c r="Y1295" s="175"/>
      <c r="Z1295" s="175"/>
      <c r="AA1295" s="175"/>
    </row>
    <row r="1296" spans="1:27" s="176" customFormat="1" hidden="1">
      <c r="A1296" s="1110"/>
      <c r="B1296" s="296"/>
      <c r="C1296" s="622" t="s">
        <v>617</v>
      </c>
      <c r="D1296" s="496">
        <v>19</v>
      </c>
      <c r="E1296" s="606" t="s">
        <v>299</v>
      </c>
      <c r="F1296" s="498">
        <v>8</v>
      </c>
      <c r="G1296" s="496">
        <v>20</v>
      </c>
      <c r="H1296" s="606" t="s">
        <v>299</v>
      </c>
      <c r="I1296" s="498">
        <v>6</v>
      </c>
      <c r="J1296" s="434"/>
      <c r="K1296" s="434">
        <f t="shared" si="174"/>
        <v>18</v>
      </c>
      <c r="L1296" s="634"/>
      <c r="M1296" s="1095"/>
      <c r="N1296" s="1096"/>
      <c r="O1296" s="827">
        <v>4</v>
      </c>
      <c r="P1296" s="827">
        <v>65.86</v>
      </c>
      <c r="Q1296" s="558">
        <f>K1296/6</f>
        <v>3</v>
      </c>
      <c r="R1296" s="1097">
        <f>P1296*O1296*Q1296</f>
        <v>790.31999999999994</v>
      </c>
      <c r="S1296" s="631" t="s">
        <v>618</v>
      </c>
      <c r="T1296" s="539">
        <v>21</v>
      </c>
      <c r="U1296" s="492"/>
      <c r="V1296" s="306"/>
      <c r="W1296" s="175"/>
      <c r="X1296" s="175"/>
      <c r="Y1296" s="175"/>
      <c r="Z1296" s="175"/>
      <c r="AA1296" s="175"/>
    </row>
    <row r="1297" spans="1:27" s="176" customFormat="1" hidden="1">
      <c r="A1297" s="1110"/>
      <c r="B1297" s="452"/>
      <c r="C1297" s="644" t="s">
        <v>660</v>
      </c>
      <c r="D1297" s="1092">
        <v>25</v>
      </c>
      <c r="E1297" s="1093" t="s">
        <v>299</v>
      </c>
      <c r="F1297" s="1094">
        <v>16</v>
      </c>
      <c r="G1297" s="1092">
        <v>27</v>
      </c>
      <c r="H1297" s="1093" t="s">
        <v>299</v>
      </c>
      <c r="I1297" s="1094">
        <v>0</v>
      </c>
      <c r="J1297" s="650" t="s">
        <v>300</v>
      </c>
      <c r="K1297" s="434">
        <f t="shared" si="174"/>
        <v>24</v>
      </c>
      <c r="L1297" s="626"/>
      <c r="M1297" s="627"/>
      <c r="N1297" s="628"/>
      <c r="O1297" s="629"/>
      <c r="P1297" s="629">
        <v>0.96299999999999997</v>
      </c>
      <c r="Q1297" s="614">
        <f>K1297*2</f>
        <v>48</v>
      </c>
      <c r="R1297" s="630">
        <f>P1297*Q1297</f>
        <v>46.223999999999997</v>
      </c>
      <c r="S1297" s="631" t="s">
        <v>618</v>
      </c>
      <c r="T1297" s="632">
        <v>23</v>
      </c>
      <c r="U1297" s="492"/>
      <c r="V1297" s="306"/>
      <c r="W1297" s="175"/>
      <c r="X1297" s="175"/>
      <c r="Y1297" s="175"/>
      <c r="Z1297" s="175"/>
      <c r="AA1297" s="175"/>
    </row>
    <row r="1298" spans="1:27" s="176" customFormat="1" hidden="1">
      <c r="A1298" s="1110"/>
      <c r="B1298" s="452"/>
      <c r="C1298" s="622" t="s">
        <v>405</v>
      </c>
      <c r="D1298" s="1092">
        <v>25</v>
      </c>
      <c r="E1298" s="1093" t="s">
        <v>299</v>
      </c>
      <c r="F1298" s="1094">
        <v>16</v>
      </c>
      <c r="G1298" s="1092">
        <v>27</v>
      </c>
      <c r="H1298" s="1093" t="s">
        <v>299</v>
      </c>
      <c r="I1298" s="1094">
        <v>0</v>
      </c>
      <c r="J1298" s="558" t="s">
        <v>300</v>
      </c>
      <c r="K1298" s="434">
        <f t="shared" si="174"/>
        <v>24</v>
      </c>
      <c r="L1298" s="634"/>
      <c r="M1298" s="631"/>
      <c r="N1298" s="642"/>
      <c r="O1298" s="631"/>
      <c r="P1298" s="827">
        <v>0.73499999999999999</v>
      </c>
      <c r="Q1298" s="558">
        <f>SUM(K1298/0.7)*3</f>
        <v>102.85714285714286</v>
      </c>
      <c r="R1298" s="643">
        <f>TRUNC(Q1298*P1298,3)</f>
        <v>75.599999999999994</v>
      </c>
      <c r="S1298" s="631" t="s">
        <v>195</v>
      </c>
      <c r="T1298" s="539">
        <v>23</v>
      </c>
      <c r="U1298" s="492"/>
      <c r="V1298" s="306">
        <f>V1299</f>
        <v>0</v>
      </c>
      <c r="W1298" s="175"/>
      <c r="X1298" s="175"/>
      <c r="Y1298" s="175"/>
      <c r="Z1298" s="175"/>
      <c r="AA1298" s="175"/>
    </row>
    <row r="1299" spans="1:27" s="40" customFormat="1" hidden="1">
      <c r="A1299" s="1110"/>
      <c r="B1299" s="1671"/>
      <c r="C1299" s="644" t="s">
        <v>617</v>
      </c>
      <c r="D1299" s="1667">
        <v>25</v>
      </c>
      <c r="E1299" s="1668" t="s">
        <v>299</v>
      </c>
      <c r="F1299" s="1669">
        <v>16</v>
      </c>
      <c r="G1299" s="1667">
        <v>27</v>
      </c>
      <c r="H1299" s="1668" t="s">
        <v>299</v>
      </c>
      <c r="I1299" s="1669">
        <v>0</v>
      </c>
      <c r="J1299" s="614"/>
      <c r="K1299" s="614">
        <f t="shared" si="174"/>
        <v>24</v>
      </c>
      <c r="L1299" s="626"/>
      <c r="M1299" s="627"/>
      <c r="N1299" s="628"/>
      <c r="O1299" s="629">
        <v>3</v>
      </c>
      <c r="P1299" s="629">
        <v>65.86</v>
      </c>
      <c r="Q1299" s="614">
        <f>K1299/6</f>
        <v>4</v>
      </c>
      <c r="R1299" s="1036">
        <f>P1299*O1299*Q1299</f>
        <v>790.31999999999994</v>
      </c>
      <c r="S1299" s="1607" t="s">
        <v>618</v>
      </c>
      <c r="T1299" s="632">
        <v>23</v>
      </c>
      <c r="U1299" s="633" t="s">
        <v>940</v>
      </c>
      <c r="V1299" s="521"/>
    </row>
    <row r="1300" spans="1:27" s="40" customFormat="1" hidden="1">
      <c r="A1300" s="1110"/>
      <c r="B1300" s="645"/>
      <c r="C1300" s="1614"/>
      <c r="D1300" s="2548" t="s">
        <v>257</v>
      </c>
      <c r="E1300" s="2549"/>
      <c r="F1300" s="2549"/>
      <c r="G1300" s="2549"/>
      <c r="H1300" s="2549"/>
      <c r="I1300" s="2550"/>
      <c r="J1300" s="2490">
        <f>VLOOKUP(A1302,'11 - FINANCEIRA'!$A$16:$AE$156,30,FALSE)</f>
        <v>2588</v>
      </c>
      <c r="K1300" s="2491"/>
      <c r="L1300" s="590" t="str">
        <f>VLOOKUP(A1302,'11 - FINANCEIRA'!_xlnm.Print_Area,4,FALSE)</f>
        <v>kg</v>
      </c>
      <c r="M1300" s="2561" t="s">
        <v>258</v>
      </c>
      <c r="N1300" s="2562"/>
      <c r="O1300" s="2562"/>
      <c r="P1300" s="2562"/>
      <c r="Q1300" s="2563"/>
      <c r="R1300" s="375">
        <f>SUM(R1288:R1299)</f>
        <v>1793.8319999999999</v>
      </c>
      <c r="S1300" s="591" t="str">
        <f>L1300</f>
        <v>kg</v>
      </c>
      <c r="T1300" s="390"/>
      <c r="U1300" s="391"/>
      <c r="V1300" s="306">
        <f t="shared" si="172"/>
        <v>0</v>
      </c>
    </row>
    <row r="1301" spans="1:27" s="40" customFormat="1" hidden="1">
      <c r="A1301" s="1106"/>
      <c r="B1301" s="246"/>
      <c r="C1301" s="247"/>
      <c r="D1301" s="2521" t="s">
        <v>259</v>
      </c>
      <c r="E1301" s="2522"/>
      <c r="F1301" s="2522"/>
      <c r="G1301" s="2522"/>
      <c r="H1301" s="2522"/>
      <c r="I1301" s="2523"/>
      <c r="J1301" s="2515">
        <f>R1300/J1300</f>
        <v>0.69313446676970625</v>
      </c>
      <c r="K1301" s="2516"/>
      <c r="L1301" s="2554"/>
      <c r="M1301" s="2556" t="s">
        <v>260</v>
      </c>
      <c r="N1301" s="2557"/>
      <c r="O1301" s="2557"/>
      <c r="P1301" s="2557"/>
      <c r="Q1301" s="2558"/>
      <c r="R1301" s="248">
        <f>VLOOKUP(A1302,'11 - FINANCEIRA'!_xlnm.Print_Area,8,FALSE)</f>
        <v>1793.8319999999999</v>
      </c>
      <c r="S1301" s="249" t="str">
        <f>L1300</f>
        <v>kg</v>
      </c>
      <c r="T1301" s="244"/>
      <c r="U1301" s="245"/>
      <c r="V1301" s="174">
        <f t="shared" si="172"/>
        <v>0</v>
      </c>
    </row>
    <row r="1302" spans="1:27" s="40" customFormat="1" hidden="1">
      <c r="A1302" s="1106" t="s">
        <v>106</v>
      </c>
      <c r="B1302" s="246"/>
      <c r="C1302" s="240"/>
      <c r="D1302" s="2524"/>
      <c r="E1302" s="2525"/>
      <c r="F1302" s="2525"/>
      <c r="G1302" s="2525"/>
      <c r="H1302" s="2525"/>
      <c r="I1302" s="2526"/>
      <c r="J1302" s="2519"/>
      <c r="K1302" s="2520"/>
      <c r="L1302" s="2570"/>
      <c r="M1302" s="2574" t="s">
        <v>261</v>
      </c>
      <c r="N1302" s="2575"/>
      <c r="O1302" s="2575"/>
      <c r="P1302" s="2575"/>
      <c r="Q1302" s="2576"/>
      <c r="R1302" s="251">
        <f>R1300-R1301</f>
        <v>0</v>
      </c>
      <c r="S1302" s="252" t="str">
        <f>L1300</f>
        <v>kg</v>
      </c>
      <c r="T1302" s="244"/>
      <c r="U1302" s="245"/>
      <c r="V1302" s="174">
        <f>R1302</f>
        <v>0</v>
      </c>
    </row>
    <row r="1303" spans="1:27" s="40" customFormat="1" hidden="1">
      <c r="A1303" s="1106"/>
      <c r="B1303" s="311"/>
      <c r="C1303" s="312"/>
      <c r="D1303" s="313"/>
      <c r="E1303" s="314"/>
      <c r="F1303" s="313"/>
      <c r="G1303" s="313"/>
      <c r="H1303" s="313"/>
      <c r="I1303" s="313"/>
      <c r="J1303" s="315"/>
      <c r="K1303" s="316"/>
      <c r="L1303" s="317"/>
      <c r="M1303" s="318"/>
      <c r="N1303" s="318"/>
      <c r="O1303" s="318"/>
      <c r="P1303" s="318"/>
      <c r="Q1303" s="318"/>
      <c r="R1303" s="319"/>
      <c r="S1303" s="320"/>
      <c r="T1303" s="321"/>
      <c r="U1303" s="322"/>
      <c r="V1303" s="265">
        <f>SUM(V1286:V1302)</f>
        <v>0</v>
      </c>
    </row>
    <row r="1304" spans="1:27" s="176" customFormat="1" ht="33" hidden="1" customHeight="1">
      <c r="A1304" s="1106"/>
      <c r="B1304" s="2494">
        <f>VLOOKUP(A1313,'11 - FINANCEIRA'!_xlnm.Print_Area,2,FALSE)</f>
        <v>100322</v>
      </c>
      <c r="C1304" s="2501" t="str">
        <f>VLOOKUP(A1313,'11 - FINANCEIRA'!_xlnm.Print_Area,3,FALSE)</f>
        <v>Lastro Com Material Granular (Pedra Britada N.3), Aplicado Em Pisos Ou Lajes Sobre Solo, Espessura De *10 Cm*. Af_07/2019</v>
      </c>
      <c r="D1304" s="2581" t="s">
        <v>242</v>
      </c>
      <c r="E1304" s="2582"/>
      <c r="F1304" s="2582"/>
      <c r="G1304" s="2582"/>
      <c r="H1304" s="2582"/>
      <c r="I1304" s="2583"/>
      <c r="J1304" s="2467" t="s">
        <v>243</v>
      </c>
      <c r="K1304" s="2496" t="s">
        <v>244</v>
      </c>
      <c r="L1304" s="2496" t="s">
        <v>245</v>
      </c>
      <c r="M1304" s="2496" t="s">
        <v>246</v>
      </c>
      <c r="N1304" s="2496" t="s">
        <v>247</v>
      </c>
      <c r="O1304" s="2496" t="s">
        <v>248</v>
      </c>
      <c r="P1304" s="409" t="s">
        <v>249</v>
      </c>
      <c r="Q1304" s="2496" t="s">
        <v>250</v>
      </c>
      <c r="R1304" s="2577" t="s">
        <v>139</v>
      </c>
      <c r="S1304" s="2496" t="s">
        <v>251</v>
      </c>
      <c r="T1304" s="2496" t="s">
        <v>252</v>
      </c>
      <c r="U1304" s="2586" t="s">
        <v>253</v>
      </c>
      <c r="V1304" s="174">
        <f t="shared" ref="V1304:V1312" si="175">V1305</f>
        <v>0</v>
      </c>
      <c r="W1304" s="175"/>
      <c r="X1304" s="175"/>
      <c r="Y1304" s="175"/>
      <c r="Z1304" s="175"/>
      <c r="AA1304" s="175"/>
    </row>
    <row r="1305" spans="1:27" s="176" customFormat="1" hidden="1">
      <c r="A1305" s="1106"/>
      <c r="B1305" s="2495" t="e">
        <f>LEFT(#REF!,5)</f>
        <v>#REF!</v>
      </c>
      <c r="C1305" s="2502" t="e">
        <f>VLOOKUP(LEFT(#REF!,5),'11 - FINANCEIRA'!_xlnm.Print_Area,2,FALSE)</f>
        <v>#REF!</v>
      </c>
      <c r="D1305" s="2588" t="s">
        <v>254</v>
      </c>
      <c r="E1305" s="2589"/>
      <c r="F1305" s="2590"/>
      <c r="G1305" s="2591" t="s">
        <v>255</v>
      </c>
      <c r="H1305" s="2592"/>
      <c r="I1305" s="2593"/>
      <c r="J1305" s="2468"/>
      <c r="K1305" s="2497"/>
      <c r="L1305" s="2497"/>
      <c r="M1305" s="2497"/>
      <c r="N1305" s="2497"/>
      <c r="O1305" s="2497"/>
      <c r="P1305" s="410" t="s">
        <v>256</v>
      </c>
      <c r="Q1305" s="2497"/>
      <c r="R1305" s="2578"/>
      <c r="S1305" s="2497"/>
      <c r="T1305" s="2497"/>
      <c r="U1305" s="2587"/>
      <c r="V1305" s="174">
        <f t="shared" si="175"/>
        <v>0</v>
      </c>
      <c r="W1305" s="175"/>
      <c r="X1305" s="175"/>
      <c r="Y1305" s="175"/>
      <c r="Z1305" s="175"/>
      <c r="AA1305" s="175"/>
    </row>
    <row r="1306" spans="1:27" s="176" customFormat="1" hidden="1">
      <c r="A1306" s="1110"/>
      <c r="B1306" s="336"/>
      <c r="C1306" s="266" t="s">
        <v>401</v>
      </c>
      <c r="D1306" s="469">
        <v>0</v>
      </c>
      <c r="E1306" s="605" t="s">
        <v>299</v>
      </c>
      <c r="F1306" s="471">
        <v>14.04</v>
      </c>
      <c r="G1306" s="469">
        <v>11</v>
      </c>
      <c r="H1306" s="605" t="s">
        <v>299</v>
      </c>
      <c r="I1306" s="471">
        <v>10</v>
      </c>
      <c r="J1306" s="489" t="s">
        <v>300</v>
      </c>
      <c r="K1306" s="489">
        <f>SUM(G1306*20+I1306)-(D1306*20+F1306)</f>
        <v>215.96</v>
      </c>
      <c r="L1306" s="489">
        <v>3.8</v>
      </c>
      <c r="M1306" s="489">
        <v>0.29998999999999998</v>
      </c>
      <c r="N1306" s="275"/>
      <c r="O1306" s="496">
        <f>K1306*L1306*M1306</f>
        <v>246.18619351999999</v>
      </c>
      <c r="P1306" s="338"/>
      <c r="Q1306" s="275"/>
      <c r="R1306" s="191">
        <v>246.1944</v>
      </c>
      <c r="S1306" s="340"/>
      <c r="T1306" s="276">
        <v>6</v>
      </c>
      <c r="U1306" s="335"/>
      <c r="V1306" s="306">
        <f>V1309</f>
        <v>0</v>
      </c>
      <c r="W1306" s="175"/>
      <c r="X1306" s="175"/>
      <c r="Y1306" s="175"/>
      <c r="Z1306" s="175"/>
      <c r="AA1306" s="175"/>
    </row>
    <row r="1307" spans="1:27" s="176" customFormat="1" ht="60" hidden="1">
      <c r="A1307" s="1110"/>
      <c r="B1307" s="1008"/>
      <c r="C1307" s="1020" t="s">
        <v>916</v>
      </c>
      <c r="D1307" s="623">
        <f t="shared" ref="D1307:I1307" si="176">D827</f>
        <v>35</v>
      </c>
      <c r="E1307" s="624" t="str">
        <f t="shared" si="176"/>
        <v>+</v>
      </c>
      <c r="F1307" s="625">
        <f t="shared" si="176"/>
        <v>14</v>
      </c>
      <c r="G1307" s="623">
        <f t="shared" si="176"/>
        <v>39</v>
      </c>
      <c r="H1307" s="624" t="str">
        <f t="shared" si="176"/>
        <v>+</v>
      </c>
      <c r="I1307" s="625">
        <f t="shared" si="176"/>
        <v>16</v>
      </c>
      <c r="J1307" s="509" t="s">
        <v>300</v>
      </c>
      <c r="K1307" s="558">
        <f>(G1307-D1307)*20+I1307-F1307</f>
        <v>82</v>
      </c>
      <c r="L1307" s="509">
        <v>3.2</v>
      </c>
      <c r="M1307" s="625">
        <v>0.5</v>
      </c>
      <c r="N1307" s="535"/>
      <c r="O1307" s="538">
        <f>TRUNC(K1307*L1307*M1307,3)</f>
        <v>131.19999999999999</v>
      </c>
      <c r="P1307" s="536"/>
      <c r="Q1307" s="534"/>
      <c r="R1307" s="537">
        <f>TRUNC(O1307,3)</f>
        <v>131.19999999999999</v>
      </c>
      <c r="S1307" s="509" t="s">
        <v>164</v>
      </c>
      <c r="T1307" s="539">
        <v>25</v>
      </c>
      <c r="U1307" s="492" t="s">
        <v>1068</v>
      </c>
      <c r="V1307" s="429"/>
      <c r="W1307" s="175"/>
      <c r="X1307" s="175"/>
      <c r="Y1307" s="175"/>
      <c r="Z1307" s="175"/>
      <c r="AA1307" s="175"/>
    </row>
    <row r="1308" spans="1:27" s="176" customFormat="1" ht="60" hidden="1">
      <c r="A1308" s="1110"/>
      <c r="B1308" s="1008"/>
      <c r="C1308" s="1020" t="s">
        <v>916</v>
      </c>
      <c r="D1308" s="623">
        <f t="shared" ref="D1308:I1308" si="177">D316</f>
        <v>31</v>
      </c>
      <c r="E1308" s="624" t="str">
        <f t="shared" si="177"/>
        <v>+</v>
      </c>
      <c r="F1308" s="625">
        <f t="shared" si="177"/>
        <v>12</v>
      </c>
      <c r="G1308" s="623">
        <f t="shared" si="177"/>
        <v>35</v>
      </c>
      <c r="H1308" s="624" t="str">
        <f t="shared" si="177"/>
        <v>+</v>
      </c>
      <c r="I1308" s="625">
        <f t="shared" si="177"/>
        <v>14</v>
      </c>
      <c r="J1308" s="509" t="s">
        <v>300</v>
      </c>
      <c r="K1308" s="558">
        <f>(G1308-D1308)*20+I1308-F1308</f>
        <v>82</v>
      </c>
      <c r="L1308" s="509">
        <v>3.2</v>
      </c>
      <c r="M1308" s="625">
        <v>0.5</v>
      </c>
      <c r="N1308" s="535"/>
      <c r="O1308" s="538">
        <f>TRUNC(K1308*L1308*M1308,3)</f>
        <v>131.19999999999999</v>
      </c>
      <c r="P1308" s="536"/>
      <c r="Q1308" s="534"/>
      <c r="R1308" s="537">
        <f>TRUNC(O1308,3)</f>
        <v>131.19999999999999</v>
      </c>
      <c r="S1308" s="509" t="s">
        <v>164</v>
      </c>
      <c r="T1308" s="539">
        <v>26</v>
      </c>
      <c r="U1308" s="492" t="s">
        <v>1068</v>
      </c>
      <c r="V1308" s="429"/>
      <c r="W1308" s="175"/>
      <c r="X1308" s="175"/>
      <c r="Y1308" s="175"/>
      <c r="Z1308" s="175"/>
      <c r="AA1308" s="175"/>
    </row>
    <row r="1309" spans="1:27" s="176" customFormat="1" ht="60" hidden="1">
      <c r="A1309" s="1110"/>
      <c r="B1309" s="1008"/>
      <c r="C1309" s="1020" t="s">
        <v>916</v>
      </c>
      <c r="D1309" s="623">
        <f>D317</f>
        <v>39</v>
      </c>
      <c r="E1309" s="624" t="str">
        <f>E317</f>
        <v>+</v>
      </c>
      <c r="F1309" s="625">
        <f>F317</f>
        <v>16</v>
      </c>
      <c r="G1309" s="623">
        <v>40</v>
      </c>
      <c r="H1309" s="624" t="str">
        <f>H317</f>
        <v>+</v>
      </c>
      <c r="I1309" s="625">
        <v>16</v>
      </c>
      <c r="J1309" s="509" t="s">
        <v>300</v>
      </c>
      <c r="K1309" s="558">
        <f>(G1309-D1309)*20+I1309-F1309</f>
        <v>20</v>
      </c>
      <c r="L1309" s="509">
        <v>3.2</v>
      </c>
      <c r="M1309" s="625">
        <v>0.5</v>
      </c>
      <c r="N1309" s="535"/>
      <c r="O1309" s="538">
        <f>TRUNC(K1309*L1309*M1309,3)</f>
        <v>32</v>
      </c>
      <c r="P1309" s="536"/>
      <c r="Q1309" s="534"/>
      <c r="R1309" s="537">
        <f>TRUNC(O1309,3)</f>
        <v>32</v>
      </c>
      <c r="S1309" s="509" t="s">
        <v>164</v>
      </c>
      <c r="T1309" s="539">
        <v>26</v>
      </c>
      <c r="U1309" s="492" t="s">
        <v>1068</v>
      </c>
      <c r="V1309" s="429"/>
      <c r="W1309" s="175"/>
      <c r="X1309" s="175"/>
      <c r="Y1309" s="175"/>
      <c r="Z1309" s="175"/>
      <c r="AA1309" s="175"/>
    </row>
    <row r="1310" spans="1:27" s="222" customFormat="1" hidden="1">
      <c r="A1310" s="1106"/>
      <c r="B1310" s="358"/>
      <c r="C1310" s="359"/>
      <c r="D1310" s="587"/>
      <c r="E1310" s="588"/>
      <c r="F1310" s="589"/>
      <c r="G1310" s="587"/>
      <c r="H1310" s="588"/>
      <c r="I1310" s="589"/>
      <c r="J1310" s="360"/>
      <c r="K1310" s="361"/>
      <c r="L1310" s="362"/>
      <c r="M1310" s="363"/>
      <c r="N1310" s="364"/>
      <c r="O1310" s="365"/>
      <c r="P1310" s="362"/>
      <c r="Q1310" s="366"/>
      <c r="R1310" s="367"/>
      <c r="S1310" s="368"/>
      <c r="T1310" s="369"/>
      <c r="U1310" s="370"/>
      <c r="V1310" s="174">
        <f t="shared" si="175"/>
        <v>0</v>
      </c>
    </row>
    <row r="1311" spans="1:27" s="40" customFormat="1" hidden="1">
      <c r="A1311" s="1106"/>
      <c r="B1311" s="371"/>
      <c r="C1311" s="377"/>
      <c r="D1311" s="2548" t="s">
        <v>257</v>
      </c>
      <c r="E1311" s="2549"/>
      <c r="F1311" s="2549"/>
      <c r="G1311" s="2549"/>
      <c r="H1311" s="2549"/>
      <c r="I1311" s="2550"/>
      <c r="J1311" s="2488">
        <f>VLOOKUP(A1313,'11 - FINANCEIRA'!$A$16:$AE$156,30,FALSE)</f>
        <v>541.6400000000001</v>
      </c>
      <c r="K1311" s="2489"/>
      <c r="L1311" s="590" t="str">
        <f>VLOOKUP(A1313,'11 - FINANCEIRA'!_xlnm.Print_Area,4,FALSE)</f>
        <v>m³</v>
      </c>
      <c r="M1311" s="2561" t="s">
        <v>258</v>
      </c>
      <c r="N1311" s="2562"/>
      <c r="O1311" s="2562"/>
      <c r="P1311" s="2562"/>
      <c r="Q1311" s="2563"/>
      <c r="R1311" s="375">
        <f>SUM(R1306:R1310)</f>
        <v>540.59439999999995</v>
      </c>
      <c r="S1311" s="591" t="str">
        <f>L1311</f>
        <v>m³</v>
      </c>
      <c r="T1311" s="372"/>
      <c r="U1311" s="373"/>
      <c r="V1311" s="174">
        <f t="shared" si="175"/>
        <v>0</v>
      </c>
    </row>
    <row r="1312" spans="1:27" s="40" customFormat="1" hidden="1">
      <c r="A1312" s="1106"/>
      <c r="B1312" s="371"/>
      <c r="C1312" s="374"/>
      <c r="D1312" s="2505" t="s">
        <v>259</v>
      </c>
      <c r="E1312" s="2506"/>
      <c r="F1312" s="2506"/>
      <c r="G1312" s="2506"/>
      <c r="H1312" s="2506"/>
      <c r="I1312" s="2507"/>
      <c r="J1312" s="2511">
        <f>R1311/J1311</f>
        <v>0.99806956650173517</v>
      </c>
      <c r="K1312" s="2512"/>
      <c r="L1312" s="2559"/>
      <c r="M1312" s="2561" t="s">
        <v>260</v>
      </c>
      <c r="N1312" s="2562"/>
      <c r="O1312" s="2562"/>
      <c r="P1312" s="2562"/>
      <c r="Q1312" s="2563"/>
      <c r="R1312" s="375">
        <f>VLOOKUP(A1313,'11 - FINANCEIRA'!_xlnm.Print_Area,8,FALSE)</f>
        <v>540.59439999999995</v>
      </c>
      <c r="S1312" s="376" t="str">
        <f>L1311</f>
        <v>m³</v>
      </c>
      <c r="T1312" s="372"/>
      <c r="U1312" s="373"/>
      <c r="V1312" s="174">
        <f t="shared" si="175"/>
        <v>0</v>
      </c>
    </row>
    <row r="1313" spans="1:27" s="40" customFormat="1" hidden="1">
      <c r="A1313" s="1106" t="s">
        <v>107</v>
      </c>
      <c r="B1313" s="371"/>
      <c r="C1313" s="377"/>
      <c r="D1313" s="2596"/>
      <c r="E1313" s="2509"/>
      <c r="F1313" s="2509"/>
      <c r="G1313" s="2509"/>
      <c r="H1313" s="2509"/>
      <c r="I1313" s="2597"/>
      <c r="J1313" s="2568"/>
      <c r="K1313" s="2569"/>
      <c r="L1313" s="2564"/>
      <c r="M1313" s="2565" t="s">
        <v>261</v>
      </c>
      <c r="N1313" s="2566"/>
      <c r="O1313" s="2566"/>
      <c r="P1313" s="2566"/>
      <c r="Q1313" s="2567"/>
      <c r="R1313" s="378">
        <f>R1311-R1312</f>
        <v>0</v>
      </c>
      <c r="S1313" s="379" t="str">
        <f>L1311</f>
        <v>m³</v>
      </c>
      <c r="T1313" s="372"/>
      <c r="U1313" s="373"/>
      <c r="V1313" s="174">
        <f>R1313</f>
        <v>0</v>
      </c>
    </row>
    <row r="1314" spans="1:27" s="40" customFormat="1" hidden="1">
      <c r="A1314" s="1106"/>
      <c r="B1314" s="394"/>
      <c r="C1314" s="395"/>
      <c r="D1314" s="396"/>
      <c r="E1314" s="397"/>
      <c r="F1314" s="396"/>
      <c r="G1314" s="396"/>
      <c r="H1314" s="396"/>
      <c r="I1314" s="396"/>
      <c r="J1314" s="398"/>
      <c r="K1314" s="399"/>
      <c r="L1314" s="400"/>
      <c r="M1314" s="401"/>
      <c r="N1314" s="401"/>
      <c r="O1314" s="401"/>
      <c r="P1314" s="401"/>
      <c r="Q1314" s="401"/>
      <c r="R1314" s="402"/>
      <c r="S1314" s="403"/>
      <c r="T1314" s="404"/>
      <c r="U1314" s="405"/>
      <c r="V1314" s="265">
        <f>SUM(V1304:V1313)</f>
        <v>0</v>
      </c>
    </row>
    <row r="1315" spans="1:27" s="176" customFormat="1" ht="25.5" hidden="1" customHeight="1">
      <c r="A1315" s="1106"/>
      <c r="B1315" s="2494">
        <f>VLOOKUP(A1346,'11 - FINANCEIRA'!_xlnm.Print_Area,2,FALSE)</f>
        <v>407820</v>
      </c>
      <c r="C1315" s="2492" t="str">
        <f>VLOOKUP(A1346,'11 - FINANCEIRA'!_xlnm.Print_Area,3,FALSE)</f>
        <v>Armação em aço CA-60 - fornecimento, preparo e colocação</v>
      </c>
      <c r="D1315" s="2581" t="s">
        <v>242</v>
      </c>
      <c r="E1315" s="2582"/>
      <c r="F1315" s="2582"/>
      <c r="G1315" s="2582"/>
      <c r="H1315" s="2582"/>
      <c r="I1315" s="2583"/>
      <c r="J1315" s="2467" t="s">
        <v>243</v>
      </c>
      <c r="K1315" s="2496" t="s">
        <v>244</v>
      </c>
      <c r="L1315" s="2496" t="s">
        <v>245</v>
      </c>
      <c r="M1315" s="2594" t="s">
        <v>351</v>
      </c>
      <c r="N1315" s="2594" t="s">
        <v>247</v>
      </c>
      <c r="O1315" s="2594" t="s">
        <v>352</v>
      </c>
      <c r="P1315" s="2496" t="s">
        <v>1201</v>
      </c>
      <c r="Q1315" s="2577" t="s">
        <v>139</v>
      </c>
      <c r="R1315" s="2577" t="s">
        <v>139</v>
      </c>
      <c r="S1315" s="2496" t="s">
        <v>251</v>
      </c>
      <c r="T1315" s="2496" t="s">
        <v>252</v>
      </c>
      <c r="U1315" s="2586" t="s">
        <v>253</v>
      </c>
      <c r="V1315" s="174">
        <f t="shared" ref="V1315:V1320" si="178">V1316</f>
        <v>0</v>
      </c>
      <c r="W1315" s="175"/>
      <c r="X1315" s="175"/>
      <c r="Y1315" s="175"/>
      <c r="Z1315" s="175"/>
      <c r="AA1315" s="175"/>
    </row>
    <row r="1316" spans="1:27" s="176" customFormat="1" hidden="1">
      <c r="A1316" s="1106"/>
      <c r="B1316" s="2495"/>
      <c r="C1316" s="2493"/>
      <c r="D1316" s="2588" t="s">
        <v>254</v>
      </c>
      <c r="E1316" s="2589"/>
      <c r="F1316" s="2590"/>
      <c r="G1316" s="2591" t="s">
        <v>255</v>
      </c>
      <c r="H1316" s="2592"/>
      <c r="I1316" s="2593"/>
      <c r="J1316" s="2468"/>
      <c r="K1316" s="2497"/>
      <c r="L1316" s="2497"/>
      <c r="M1316" s="2595"/>
      <c r="N1316" s="2595"/>
      <c r="O1316" s="2595"/>
      <c r="P1316" s="2497"/>
      <c r="Q1316" s="2578"/>
      <c r="R1316" s="2578"/>
      <c r="S1316" s="2497"/>
      <c r="T1316" s="2497"/>
      <c r="U1316" s="2587"/>
      <c r="V1316" s="174">
        <f t="shared" si="178"/>
        <v>0</v>
      </c>
      <c r="W1316" s="175"/>
      <c r="X1316" s="175"/>
      <c r="Y1316" s="175"/>
      <c r="Z1316" s="175"/>
      <c r="AA1316" s="175"/>
    </row>
    <row r="1317" spans="1:27" s="176" customFormat="1" ht="30" hidden="1">
      <c r="A1317" s="1110"/>
      <c r="B1317" s="336"/>
      <c r="C1317" s="547" t="s">
        <v>402</v>
      </c>
      <c r="D1317" s="523">
        <v>0</v>
      </c>
      <c r="E1317" s="636" t="s">
        <v>299</v>
      </c>
      <c r="F1317" s="525">
        <v>14.04</v>
      </c>
      <c r="G1317" s="523">
        <v>11</v>
      </c>
      <c r="H1317" s="636" t="s">
        <v>299</v>
      </c>
      <c r="I1317" s="525">
        <v>10</v>
      </c>
      <c r="J1317" s="425" t="s">
        <v>300</v>
      </c>
      <c r="K1317" s="548">
        <f>SUM(G1317*20+I1317)-(D1317*20+F1317)</f>
        <v>215.96</v>
      </c>
      <c r="L1317" s="549">
        <f>3.74+0.12+0.8+0.4</f>
        <v>5.0600000000000005</v>
      </c>
      <c r="M1317" s="425">
        <f>5.8*2.22</f>
        <v>12.876000000000001</v>
      </c>
      <c r="N1317" s="548">
        <f>K1317*L1317</f>
        <v>1092.7576000000001</v>
      </c>
      <c r="O1317" s="548">
        <f>N1317/M1317</f>
        <v>84.867785026405713</v>
      </c>
      <c r="P1317" s="425">
        <v>45.72</v>
      </c>
      <c r="Q1317" s="425" t="s">
        <v>403</v>
      </c>
      <c r="R1317" s="552">
        <f>TRUNC(P1317*O1317,3)</f>
        <v>3880.1550000000002</v>
      </c>
      <c r="S1317" s="425" t="s">
        <v>195</v>
      </c>
      <c r="T1317" s="427">
        <v>8</v>
      </c>
      <c r="U1317" s="637" t="s">
        <v>404</v>
      </c>
      <c r="V1317" s="306">
        <f t="shared" si="178"/>
        <v>0</v>
      </c>
      <c r="W1317" s="175"/>
      <c r="X1317" s="175"/>
      <c r="Y1317" s="175"/>
      <c r="Z1317" s="175"/>
      <c r="AA1317" s="175"/>
    </row>
    <row r="1318" spans="1:27" s="176" customFormat="1" hidden="1">
      <c r="A1318" s="1110"/>
      <c r="B1318" s="452"/>
      <c r="C1318" s="622" t="s">
        <v>405</v>
      </c>
      <c r="D1318" s="638"/>
      <c r="E1318" s="639"/>
      <c r="F1318" s="640"/>
      <c r="G1318" s="638"/>
      <c r="H1318" s="639"/>
      <c r="I1318" s="640"/>
      <c r="J1318" s="558" t="s">
        <v>300</v>
      </c>
      <c r="K1318" s="641"/>
      <c r="L1318" s="634" t="s">
        <v>403</v>
      </c>
      <c r="M1318" s="631" t="s">
        <v>403</v>
      </c>
      <c r="N1318" s="642"/>
      <c r="O1318" s="631"/>
      <c r="P1318" s="634">
        <v>0.73499999999999999</v>
      </c>
      <c r="Q1318" s="558">
        <f>$K$1317/0.7</f>
        <v>308.51428571428573</v>
      </c>
      <c r="R1318" s="643">
        <f>TRUNC(Q1318*P1318,3)</f>
        <v>226.75800000000001</v>
      </c>
      <c r="S1318" s="631" t="s">
        <v>195</v>
      </c>
      <c r="T1318" s="539">
        <v>6</v>
      </c>
      <c r="U1318" s="595"/>
      <c r="V1318" s="174">
        <f t="shared" si="178"/>
        <v>0</v>
      </c>
      <c r="W1318" s="175"/>
      <c r="X1318" s="175"/>
      <c r="Y1318" s="175"/>
      <c r="Z1318" s="175"/>
      <c r="AA1318" s="175"/>
    </row>
    <row r="1319" spans="1:27" s="176" customFormat="1" hidden="1">
      <c r="A1319" s="1110"/>
      <c r="B1319" s="452"/>
      <c r="C1319" s="644" t="s">
        <v>555</v>
      </c>
      <c r="D1319" s="623"/>
      <c r="E1319" s="624"/>
      <c r="F1319" s="625"/>
      <c r="G1319" s="623"/>
      <c r="H1319" s="624"/>
      <c r="I1319" s="625"/>
      <c r="J1319" s="558" t="s">
        <v>300</v>
      </c>
      <c r="K1319" s="623">
        <f>(3.32)*2</f>
        <v>6.64</v>
      </c>
      <c r="L1319" s="626"/>
      <c r="M1319" s="627"/>
      <c r="N1319" s="628">
        <f>Q1319*K1319</f>
        <v>26.56</v>
      </c>
      <c r="O1319" s="629"/>
      <c r="P1319" s="629">
        <v>3.11</v>
      </c>
      <c r="Q1319" s="558">
        <v>4</v>
      </c>
      <c r="R1319" s="630">
        <f>TRUNC(P1319*N1319,3)</f>
        <v>82.600999999999999</v>
      </c>
      <c r="S1319" s="631" t="s">
        <v>195</v>
      </c>
      <c r="T1319" s="632">
        <v>6</v>
      </c>
      <c r="U1319" s="633" t="s">
        <v>406</v>
      </c>
      <c r="V1319" s="174">
        <f t="shared" si="178"/>
        <v>0</v>
      </c>
      <c r="W1319" s="175"/>
      <c r="X1319" s="175"/>
      <c r="Y1319" s="175"/>
      <c r="Z1319" s="175"/>
      <c r="AA1319" s="175"/>
    </row>
    <row r="1320" spans="1:27" s="176" customFormat="1" hidden="1">
      <c r="A1320" s="1110"/>
      <c r="B1320" s="452"/>
      <c r="C1320" s="622" t="s">
        <v>405</v>
      </c>
      <c r="D1320" s="638"/>
      <c r="E1320" s="639"/>
      <c r="F1320" s="640"/>
      <c r="G1320" s="638"/>
      <c r="H1320" s="639"/>
      <c r="I1320" s="640"/>
      <c r="J1320" s="558" t="s">
        <v>300</v>
      </c>
      <c r="K1320" s="641"/>
      <c r="L1320" s="634" t="s">
        <v>403</v>
      </c>
      <c r="M1320" s="631" t="s">
        <v>403</v>
      </c>
      <c r="N1320" s="642"/>
      <c r="O1320" s="631"/>
      <c r="P1320" s="634">
        <v>0.73499999999999999</v>
      </c>
      <c r="Q1320" s="558">
        <f>$K$1317/0.7</f>
        <v>308.51428571428573</v>
      </c>
      <c r="R1320" s="643">
        <f>TRUNC(Q1320*P1320,3)*-1</f>
        <v>-226.75800000000001</v>
      </c>
      <c r="S1320" s="631" t="s">
        <v>195</v>
      </c>
      <c r="T1320" s="539">
        <v>7</v>
      </c>
      <c r="U1320" s="492" t="s">
        <v>389</v>
      </c>
      <c r="V1320" s="306">
        <f t="shared" si="178"/>
        <v>0</v>
      </c>
      <c r="W1320" s="175"/>
      <c r="X1320" s="175"/>
      <c r="Y1320" s="175"/>
      <c r="Z1320" s="175"/>
      <c r="AA1320" s="175"/>
    </row>
    <row r="1321" spans="1:27" s="176" customFormat="1" hidden="1">
      <c r="A1321" s="1110"/>
      <c r="B1321" s="452"/>
      <c r="C1321" s="644" t="s">
        <v>555</v>
      </c>
      <c r="D1321" s="623"/>
      <c r="E1321" s="624"/>
      <c r="F1321" s="625"/>
      <c r="G1321" s="623"/>
      <c r="H1321" s="624"/>
      <c r="I1321" s="625"/>
      <c r="J1321" s="558" t="s">
        <v>300</v>
      </c>
      <c r="K1321" s="623">
        <f>(3.32)*2</f>
        <v>6.64</v>
      </c>
      <c r="L1321" s="626"/>
      <c r="M1321" s="627"/>
      <c r="N1321" s="628">
        <f>Q1321*K1321</f>
        <v>26.56</v>
      </c>
      <c r="O1321" s="629"/>
      <c r="P1321" s="629">
        <v>3.11</v>
      </c>
      <c r="Q1321" s="558">
        <v>4</v>
      </c>
      <c r="R1321" s="630">
        <f>TRUNC(P1321*N1321,3)*-1</f>
        <v>-82.600999999999999</v>
      </c>
      <c r="S1321" s="631" t="s">
        <v>195</v>
      </c>
      <c r="T1321" s="632">
        <v>7</v>
      </c>
      <c r="U1321" s="492" t="s">
        <v>389</v>
      </c>
      <c r="V1321" s="306">
        <f>V1331</f>
        <v>0</v>
      </c>
      <c r="W1321" s="175"/>
      <c r="X1321" s="175"/>
      <c r="Y1321" s="175"/>
      <c r="Z1321" s="175"/>
      <c r="AA1321" s="175"/>
    </row>
    <row r="1322" spans="1:27" s="176" customFormat="1" hidden="1">
      <c r="A1322" s="1110"/>
      <c r="B1322" s="452"/>
      <c r="C1322" s="622" t="s">
        <v>405</v>
      </c>
      <c r="D1322" s="638"/>
      <c r="E1322" s="639"/>
      <c r="F1322" s="640"/>
      <c r="G1322" s="638"/>
      <c r="H1322" s="639"/>
      <c r="I1322" s="640"/>
      <c r="J1322" s="558" t="s">
        <v>300</v>
      </c>
      <c r="K1322" s="641"/>
      <c r="L1322" s="634" t="s">
        <v>403</v>
      </c>
      <c r="M1322" s="631" t="s">
        <v>403</v>
      </c>
      <c r="N1322" s="642"/>
      <c r="O1322" s="631"/>
      <c r="P1322" s="634">
        <v>0.73499999999999999</v>
      </c>
      <c r="Q1322" s="558">
        <f>$K$1317/0.7</f>
        <v>308.51428571428573</v>
      </c>
      <c r="R1322" s="643">
        <f>TRUNC(Q1322*P1322,3)</f>
        <v>226.75800000000001</v>
      </c>
      <c r="S1322" s="631" t="s">
        <v>195</v>
      </c>
      <c r="T1322" s="539">
        <v>8</v>
      </c>
      <c r="U1322" s="633" t="s">
        <v>363</v>
      </c>
      <c r="V1322" s="306">
        <f>V1323</f>
        <v>0</v>
      </c>
      <c r="W1322" s="175"/>
      <c r="X1322" s="175"/>
      <c r="Y1322" s="175"/>
      <c r="Z1322" s="175"/>
      <c r="AA1322" s="175"/>
    </row>
    <row r="1323" spans="1:27" s="176" customFormat="1" ht="30" hidden="1">
      <c r="A1323" s="1110"/>
      <c r="B1323" s="452"/>
      <c r="C1323" s="644" t="s">
        <v>616</v>
      </c>
      <c r="D1323" s="623">
        <v>9</v>
      </c>
      <c r="E1323" s="624" t="s">
        <v>299</v>
      </c>
      <c r="F1323" s="625">
        <v>0</v>
      </c>
      <c r="G1323" s="623">
        <v>9</v>
      </c>
      <c r="H1323" s="624" t="s">
        <v>299</v>
      </c>
      <c r="I1323" s="625">
        <v>0</v>
      </c>
      <c r="J1323" s="558"/>
      <c r="K1323" s="623">
        <f>K1274</f>
        <v>8.15</v>
      </c>
      <c r="L1323" s="623">
        <f>L1274</f>
        <v>11.225</v>
      </c>
      <c r="M1323" s="631">
        <f>5.6*2.04</f>
        <v>11.423999999999999</v>
      </c>
      <c r="N1323" s="628">
        <f>K1323*L1323</f>
        <v>91.483750000000001</v>
      </c>
      <c r="O1323" s="907">
        <f>N1323/M1323</f>
        <v>8.0080313375350141</v>
      </c>
      <c r="P1323" s="629">
        <v>65.86</v>
      </c>
      <c r="Q1323" s="558">
        <v>1</v>
      </c>
      <c r="R1323" s="630">
        <f>O1323*P1323</f>
        <v>527.40894389005598</v>
      </c>
      <c r="S1323" s="631" t="s">
        <v>618</v>
      </c>
      <c r="T1323" s="632">
        <v>15</v>
      </c>
      <c r="U1323" s="633" t="s">
        <v>619</v>
      </c>
      <c r="V1323" s="306">
        <f>V1331</f>
        <v>0</v>
      </c>
      <c r="W1323" s="175"/>
      <c r="X1323" s="175"/>
      <c r="Y1323" s="175"/>
      <c r="Z1323" s="175"/>
      <c r="AA1323" s="175"/>
    </row>
    <row r="1324" spans="1:27" s="176" customFormat="1" hidden="1">
      <c r="A1324" s="1110"/>
      <c r="B1324" s="452"/>
      <c r="C1324" s="622" t="s">
        <v>405</v>
      </c>
      <c r="D1324" s="844">
        <v>11</v>
      </c>
      <c r="E1324" s="606" t="s">
        <v>299</v>
      </c>
      <c r="F1324" s="816">
        <v>10</v>
      </c>
      <c r="G1324" s="844">
        <v>14</v>
      </c>
      <c r="H1324" s="845" t="s">
        <v>299</v>
      </c>
      <c r="I1324" s="816">
        <v>10</v>
      </c>
      <c r="J1324" s="558" t="s">
        <v>300</v>
      </c>
      <c r="K1324" s="641"/>
      <c r="L1324" s="634"/>
      <c r="M1324" s="631"/>
      <c r="N1324" s="642"/>
      <c r="O1324" s="631"/>
      <c r="P1324" s="634">
        <v>0.73499999999999999</v>
      </c>
      <c r="Q1324" s="558">
        <f>$K$1317/0.7</f>
        <v>308.51428571428573</v>
      </c>
      <c r="R1324" s="643">
        <f>TRUNC(Q1324*P1324,3)</f>
        <v>226.75800000000001</v>
      </c>
      <c r="S1324" s="631" t="s">
        <v>195</v>
      </c>
      <c r="T1324" s="539">
        <v>15</v>
      </c>
      <c r="U1324" s="492" t="s">
        <v>629</v>
      </c>
      <c r="V1324" s="306">
        <f>V1325</f>
        <v>0</v>
      </c>
      <c r="W1324" s="175"/>
      <c r="X1324" s="175"/>
      <c r="Y1324" s="175"/>
      <c r="Z1324" s="175"/>
      <c r="AA1324" s="175"/>
    </row>
    <row r="1325" spans="1:27" s="176" customFormat="1" hidden="1">
      <c r="A1325" s="1110"/>
      <c r="B1325" s="452"/>
      <c r="C1325" s="644" t="s">
        <v>617</v>
      </c>
      <c r="D1325" s="844">
        <v>11</v>
      </c>
      <c r="E1325" s="606" t="s">
        <v>299</v>
      </c>
      <c r="F1325" s="816">
        <v>10</v>
      </c>
      <c r="G1325" s="844">
        <v>14</v>
      </c>
      <c r="H1325" s="845" t="s">
        <v>299</v>
      </c>
      <c r="I1325" s="816">
        <v>10</v>
      </c>
      <c r="J1325" s="650"/>
      <c r="K1325" s="434">
        <f>SUM(G1325*20+I1325)-(D1325*20+F1325)</f>
        <v>60</v>
      </c>
      <c r="L1325" s="626"/>
      <c r="M1325" s="627"/>
      <c r="N1325" s="628"/>
      <c r="O1325" s="629">
        <v>4</v>
      </c>
      <c r="P1325" s="629">
        <v>65.86</v>
      </c>
      <c r="Q1325" s="558">
        <f>K1325/6</f>
        <v>10</v>
      </c>
      <c r="R1325" s="630">
        <f>P1325*O1325*Q1325</f>
        <v>2634.4</v>
      </c>
      <c r="S1325" s="631" t="s">
        <v>618</v>
      </c>
      <c r="T1325" s="632">
        <v>15</v>
      </c>
      <c r="U1325" s="633"/>
      <c r="V1325" s="306"/>
      <c r="W1325" s="175"/>
      <c r="X1325" s="175"/>
      <c r="Y1325" s="175"/>
      <c r="Z1325" s="175"/>
      <c r="AA1325" s="175"/>
    </row>
    <row r="1326" spans="1:27" s="176" customFormat="1" hidden="1">
      <c r="A1326" s="1110"/>
      <c r="B1326" s="452"/>
      <c r="C1326" s="622" t="s">
        <v>405</v>
      </c>
      <c r="D1326" s="844">
        <f>G1325</f>
        <v>14</v>
      </c>
      <c r="E1326" s="606" t="s">
        <v>299</v>
      </c>
      <c r="F1326" s="816">
        <f>I1325</f>
        <v>10</v>
      </c>
      <c r="G1326" s="844">
        <v>19</v>
      </c>
      <c r="H1326" s="845" t="s">
        <v>299</v>
      </c>
      <c r="I1326" s="816">
        <v>10</v>
      </c>
      <c r="J1326" s="558" t="s">
        <v>300</v>
      </c>
      <c r="K1326" s="641"/>
      <c r="L1326" s="634"/>
      <c r="M1326" s="631"/>
      <c r="N1326" s="642"/>
      <c r="O1326" s="631"/>
      <c r="P1326" s="827">
        <v>0.73499999999999999</v>
      </c>
      <c r="Q1326" s="558">
        <f>$K$1317/0.7</f>
        <v>308.51428571428573</v>
      </c>
      <c r="R1326" s="643">
        <f>TRUNC(Q1326*P1326,3)</f>
        <v>226.75800000000001</v>
      </c>
      <c r="S1326" s="631" t="s">
        <v>195</v>
      </c>
      <c r="T1326" s="539">
        <v>16</v>
      </c>
      <c r="U1326" s="492" t="s">
        <v>629</v>
      </c>
      <c r="V1326" s="306">
        <f>V1327</f>
        <v>0</v>
      </c>
      <c r="W1326" s="175"/>
      <c r="X1326" s="175"/>
      <c r="Y1326" s="175"/>
      <c r="Z1326" s="175"/>
      <c r="AA1326" s="175"/>
    </row>
    <row r="1327" spans="1:27" s="176" customFormat="1" hidden="1">
      <c r="A1327" s="1110"/>
      <c r="B1327" s="452"/>
      <c r="C1327" s="644" t="s">
        <v>617</v>
      </c>
      <c r="D1327" s="844">
        <f>G1325</f>
        <v>14</v>
      </c>
      <c r="E1327" s="606" t="s">
        <v>299</v>
      </c>
      <c r="F1327" s="816">
        <f>I1325</f>
        <v>10</v>
      </c>
      <c r="G1327" s="844">
        <v>19</v>
      </c>
      <c r="H1327" s="845" t="s">
        <v>299</v>
      </c>
      <c r="I1327" s="816">
        <v>10</v>
      </c>
      <c r="J1327" s="650"/>
      <c r="K1327" s="434">
        <f>SUM(G1327*20+I1327)-(D1327*20+F1327)</f>
        <v>100</v>
      </c>
      <c r="L1327" s="626"/>
      <c r="M1327" s="627"/>
      <c r="N1327" s="628"/>
      <c r="O1327" s="629">
        <v>4</v>
      </c>
      <c r="P1327" s="629">
        <v>65.86</v>
      </c>
      <c r="Q1327" s="558">
        <f>K1327/6</f>
        <v>16.666666666666668</v>
      </c>
      <c r="R1327" s="974">
        <f>P1327*O1327*Q1327</f>
        <v>4390.666666666667</v>
      </c>
      <c r="S1327" s="631" t="s">
        <v>618</v>
      </c>
      <c r="T1327" s="632">
        <v>16</v>
      </c>
      <c r="U1327" s="633"/>
      <c r="V1327" s="306"/>
      <c r="W1327" s="175"/>
      <c r="X1327" s="175"/>
      <c r="Y1327" s="175"/>
      <c r="Z1327" s="175"/>
      <c r="AA1327" s="175"/>
    </row>
    <row r="1328" spans="1:27" s="176" customFormat="1" hidden="1">
      <c r="A1328" s="1110"/>
      <c r="B1328" s="452"/>
      <c r="C1328" s="644" t="s">
        <v>660</v>
      </c>
      <c r="D1328" s="844">
        <v>11</v>
      </c>
      <c r="E1328" s="606" t="s">
        <v>299</v>
      </c>
      <c r="F1328" s="816">
        <v>10</v>
      </c>
      <c r="G1328" s="844">
        <v>19</v>
      </c>
      <c r="H1328" s="845" t="s">
        <v>299</v>
      </c>
      <c r="I1328" s="816">
        <v>10</v>
      </c>
      <c r="J1328" s="650" t="s">
        <v>300</v>
      </c>
      <c r="K1328" s="434">
        <f>SUM(G1328*20+I1328)-(D1328*20+F1328)</f>
        <v>160</v>
      </c>
      <c r="L1328" s="626"/>
      <c r="M1328" s="627"/>
      <c r="N1328" s="628"/>
      <c r="O1328" s="629"/>
      <c r="P1328" s="629">
        <v>0.96299999999999997</v>
      </c>
      <c r="Q1328" s="614">
        <f>K1328*2</f>
        <v>320</v>
      </c>
      <c r="R1328" s="630">
        <f>P1328*Q1328</f>
        <v>308.15999999999997</v>
      </c>
      <c r="S1328" s="631" t="s">
        <v>618</v>
      </c>
      <c r="T1328" s="632">
        <v>16</v>
      </c>
      <c r="U1328" s="633"/>
      <c r="V1328" s="306"/>
      <c r="W1328" s="175"/>
      <c r="X1328" s="175"/>
      <c r="Y1328" s="175"/>
      <c r="Z1328" s="175"/>
      <c r="AA1328" s="175"/>
    </row>
    <row r="1329" spans="1:27" s="176" customFormat="1" hidden="1">
      <c r="A1329" s="1110"/>
      <c r="B1329" s="452"/>
      <c r="C1329" s="622" t="s">
        <v>405</v>
      </c>
      <c r="D1329" s="844">
        <v>19</v>
      </c>
      <c r="E1329" s="606" t="s">
        <v>299</v>
      </c>
      <c r="F1329" s="816">
        <f>I1328</f>
        <v>10</v>
      </c>
      <c r="G1329" s="844">
        <v>22</v>
      </c>
      <c r="H1329" s="845" t="s">
        <v>299</v>
      </c>
      <c r="I1329" s="816">
        <v>10</v>
      </c>
      <c r="J1329" s="558" t="s">
        <v>300</v>
      </c>
      <c r="K1329" s="641"/>
      <c r="L1329" s="634"/>
      <c r="M1329" s="631"/>
      <c r="N1329" s="642"/>
      <c r="O1329" s="631"/>
      <c r="P1329" s="827">
        <v>0.73499999999999999</v>
      </c>
      <c r="Q1329" s="558">
        <f>$K$1317/0.7</f>
        <v>308.51428571428573</v>
      </c>
      <c r="R1329" s="643">
        <f>TRUNC(Q1329*P1329,3)</f>
        <v>226.75800000000001</v>
      </c>
      <c r="S1329" s="631" t="s">
        <v>195</v>
      </c>
      <c r="T1329" s="539">
        <v>17</v>
      </c>
      <c r="U1329" s="492" t="s">
        <v>629</v>
      </c>
      <c r="V1329" s="306">
        <f>V1330</f>
        <v>0</v>
      </c>
      <c r="W1329" s="175"/>
      <c r="X1329" s="175"/>
      <c r="Y1329" s="175"/>
      <c r="Z1329" s="175"/>
      <c r="AA1329" s="175"/>
    </row>
    <row r="1330" spans="1:27" s="176" customFormat="1" hidden="1">
      <c r="A1330" s="1110"/>
      <c r="B1330" s="452"/>
      <c r="C1330" s="644" t="s">
        <v>617</v>
      </c>
      <c r="D1330" s="844">
        <v>19</v>
      </c>
      <c r="E1330" s="606" t="s">
        <v>299</v>
      </c>
      <c r="F1330" s="816">
        <f>I1328</f>
        <v>10</v>
      </c>
      <c r="G1330" s="844">
        <v>22</v>
      </c>
      <c r="H1330" s="845" t="s">
        <v>299</v>
      </c>
      <c r="I1330" s="816">
        <v>10</v>
      </c>
      <c r="J1330" s="650"/>
      <c r="K1330" s="434">
        <f>SUM(G1330*20+I1330)-(D1330*20+F1330)</f>
        <v>60</v>
      </c>
      <c r="L1330" s="626"/>
      <c r="M1330" s="627"/>
      <c r="N1330" s="628"/>
      <c r="O1330" s="629">
        <v>4</v>
      </c>
      <c r="P1330" s="629">
        <v>65.86</v>
      </c>
      <c r="Q1330" s="558">
        <f>K1330/6</f>
        <v>10</v>
      </c>
      <c r="R1330" s="974">
        <f>P1330*O1330*Q1330</f>
        <v>2634.4</v>
      </c>
      <c r="S1330" s="631" t="s">
        <v>618</v>
      </c>
      <c r="T1330" s="632">
        <v>17</v>
      </c>
      <c r="U1330" s="633"/>
      <c r="V1330" s="306"/>
      <c r="W1330" s="175"/>
      <c r="X1330" s="175"/>
      <c r="Y1330" s="175"/>
      <c r="Z1330" s="175"/>
      <c r="AA1330" s="175"/>
    </row>
    <row r="1331" spans="1:27" s="176" customFormat="1" hidden="1">
      <c r="A1331" s="1110"/>
      <c r="B1331" s="452"/>
      <c r="C1331" s="644" t="s">
        <v>660</v>
      </c>
      <c r="D1331" s="844">
        <v>19</v>
      </c>
      <c r="E1331" s="606" t="s">
        <v>299</v>
      </c>
      <c r="F1331" s="816">
        <v>10</v>
      </c>
      <c r="G1331" s="844">
        <v>22</v>
      </c>
      <c r="H1331" s="845" t="s">
        <v>299</v>
      </c>
      <c r="I1331" s="816">
        <v>10</v>
      </c>
      <c r="J1331" s="650" t="s">
        <v>300</v>
      </c>
      <c r="K1331" s="434">
        <f>SUM(G1331*20+I1331)-(D1331*20+F1331)</f>
        <v>60</v>
      </c>
      <c r="L1331" s="626"/>
      <c r="M1331" s="627"/>
      <c r="N1331" s="628"/>
      <c r="O1331" s="629"/>
      <c r="P1331" s="629">
        <v>0.96299999999999997</v>
      </c>
      <c r="Q1331" s="614">
        <f>K1331*2</f>
        <v>120</v>
      </c>
      <c r="R1331" s="630">
        <f>P1331*Q1331</f>
        <v>115.56</v>
      </c>
      <c r="S1331" s="631" t="s">
        <v>618</v>
      </c>
      <c r="T1331" s="632">
        <v>17</v>
      </c>
      <c r="U1331" s="492"/>
      <c r="V1331" s="306"/>
      <c r="W1331" s="175"/>
      <c r="X1331" s="175"/>
      <c r="Y1331" s="175"/>
      <c r="Z1331" s="175"/>
      <c r="AA1331" s="175"/>
    </row>
    <row r="1332" spans="1:27" s="176" customFormat="1" hidden="1">
      <c r="A1332" s="1110"/>
      <c r="B1332" s="452"/>
      <c r="C1332" s="622" t="s">
        <v>405</v>
      </c>
      <c r="D1332" s="844">
        <f>D1279</f>
        <v>22</v>
      </c>
      <c r="E1332" s="606" t="s">
        <v>299</v>
      </c>
      <c r="F1332" s="816">
        <f>F1279</f>
        <v>10</v>
      </c>
      <c r="G1332" s="844">
        <f>G1279</f>
        <v>24</v>
      </c>
      <c r="H1332" s="845" t="s">
        <v>299</v>
      </c>
      <c r="I1332" s="816">
        <f>I1279</f>
        <v>10</v>
      </c>
      <c r="J1332" s="558" t="s">
        <v>300</v>
      </c>
      <c r="K1332" s="641"/>
      <c r="L1332" s="634"/>
      <c r="M1332" s="631"/>
      <c r="N1332" s="642"/>
      <c r="O1332" s="631"/>
      <c r="P1332" s="827">
        <v>0.73499999999999999</v>
      </c>
      <c r="Q1332" s="558">
        <f>$K$1317/0.7</f>
        <v>308.51428571428573</v>
      </c>
      <c r="R1332" s="643">
        <f>TRUNC(Q1332*P1332,3)</f>
        <v>226.75800000000001</v>
      </c>
      <c r="S1332" s="631" t="s">
        <v>195</v>
      </c>
      <c r="T1332" s="539">
        <v>18</v>
      </c>
      <c r="U1332" s="492" t="s">
        <v>629</v>
      </c>
      <c r="V1332" s="306">
        <f>V1333</f>
        <v>0</v>
      </c>
      <c r="W1332" s="175"/>
      <c r="X1332" s="175"/>
      <c r="Y1332" s="175"/>
      <c r="Z1332" s="175"/>
      <c r="AA1332" s="175"/>
    </row>
    <row r="1333" spans="1:27" s="176" customFormat="1" hidden="1">
      <c r="A1333" s="1110"/>
      <c r="B1333" s="452"/>
      <c r="C1333" s="644" t="s">
        <v>617</v>
      </c>
      <c r="D1333" s="844">
        <f>D1332</f>
        <v>22</v>
      </c>
      <c r="E1333" s="606" t="s">
        <v>299</v>
      </c>
      <c r="F1333" s="816">
        <f>F1332</f>
        <v>10</v>
      </c>
      <c r="G1333" s="844">
        <f>G1332</f>
        <v>24</v>
      </c>
      <c r="H1333" s="845" t="s">
        <v>299</v>
      </c>
      <c r="I1333" s="816">
        <f>I1332</f>
        <v>10</v>
      </c>
      <c r="J1333" s="650"/>
      <c r="K1333" s="434">
        <f>SUM(G1333*20+I1333)-(D1333*20+F1333)</f>
        <v>40</v>
      </c>
      <c r="L1333" s="626"/>
      <c r="M1333" s="627"/>
      <c r="N1333" s="628"/>
      <c r="O1333" s="629">
        <v>4</v>
      </c>
      <c r="P1333" s="629">
        <v>65.86</v>
      </c>
      <c r="Q1333" s="558">
        <f>K1333/6</f>
        <v>6.666666666666667</v>
      </c>
      <c r="R1333" s="974">
        <f>P1333*O1333*Q1333</f>
        <v>1756.2666666666667</v>
      </c>
      <c r="S1333" s="631" t="s">
        <v>618</v>
      </c>
      <c r="T1333" s="632">
        <v>18</v>
      </c>
      <c r="U1333" s="633"/>
      <c r="V1333" s="306"/>
      <c r="W1333" s="175"/>
      <c r="X1333" s="175"/>
      <c r="Y1333" s="175"/>
      <c r="Z1333" s="175"/>
      <c r="AA1333" s="175"/>
    </row>
    <row r="1334" spans="1:27" s="176" customFormat="1" hidden="1">
      <c r="A1334" s="1110"/>
      <c r="B1334" s="452"/>
      <c r="C1334" s="644" t="s">
        <v>660</v>
      </c>
      <c r="D1334" s="844">
        <f>D1333</f>
        <v>22</v>
      </c>
      <c r="E1334" s="606" t="s">
        <v>299</v>
      </c>
      <c r="F1334" s="816">
        <f>F1333</f>
        <v>10</v>
      </c>
      <c r="G1334" s="844">
        <f>G1333</f>
        <v>24</v>
      </c>
      <c r="H1334" s="845" t="s">
        <v>299</v>
      </c>
      <c r="I1334" s="816">
        <f>I1333</f>
        <v>10</v>
      </c>
      <c r="J1334" s="650" t="s">
        <v>300</v>
      </c>
      <c r="K1334" s="434">
        <f>SUM(G1334*20+I1334)-(D1334*20+F1334)</f>
        <v>40</v>
      </c>
      <c r="L1334" s="626"/>
      <c r="M1334" s="627"/>
      <c r="N1334" s="628"/>
      <c r="O1334" s="629"/>
      <c r="P1334" s="629">
        <v>0.96299999999999997</v>
      </c>
      <c r="Q1334" s="614">
        <f>K1334*2</f>
        <v>80</v>
      </c>
      <c r="R1334" s="630">
        <f>P1334*Q1334</f>
        <v>77.039999999999992</v>
      </c>
      <c r="S1334" s="631" t="s">
        <v>618</v>
      </c>
      <c r="T1334" s="632">
        <v>18</v>
      </c>
      <c r="U1334" s="492"/>
      <c r="V1334" s="306"/>
      <c r="W1334" s="175"/>
      <c r="X1334" s="175"/>
      <c r="Y1334" s="175"/>
      <c r="Z1334" s="175"/>
      <c r="AA1334" s="175"/>
    </row>
    <row r="1335" spans="1:27" s="765" customFormat="1" ht="45" hidden="1">
      <c r="A1335" s="1771"/>
      <c r="B1335" s="1032"/>
      <c r="C1335" s="644" t="s">
        <v>766</v>
      </c>
      <c r="D1335" s="1033"/>
      <c r="E1335" s="624"/>
      <c r="F1335" s="1034"/>
      <c r="G1335" s="1033"/>
      <c r="H1335" s="1035"/>
      <c r="I1335" s="1034"/>
      <c r="J1335" s="954"/>
      <c r="K1335" s="558"/>
      <c r="L1335" s="626"/>
      <c r="M1335" s="627"/>
      <c r="N1335" s="628"/>
      <c r="O1335" s="629"/>
      <c r="P1335" s="629"/>
      <c r="Q1335" s="614"/>
      <c r="R1335" s="1036">
        <v>-1045.28</v>
      </c>
      <c r="S1335" s="631" t="s">
        <v>195</v>
      </c>
      <c r="T1335" s="632">
        <v>20</v>
      </c>
      <c r="U1335" s="492" t="s">
        <v>768</v>
      </c>
      <c r="V1335" s="713"/>
      <c r="W1335" s="688"/>
      <c r="X1335" s="688"/>
      <c r="Y1335" s="688"/>
      <c r="Z1335" s="688"/>
      <c r="AA1335" s="688"/>
    </row>
    <row r="1336" spans="1:27" s="176" customFormat="1" ht="45" hidden="1">
      <c r="A1336" s="1110"/>
      <c r="B1336" s="1032"/>
      <c r="C1336" s="644" t="s">
        <v>766</v>
      </c>
      <c r="D1336" s="1033"/>
      <c r="E1336" s="624"/>
      <c r="F1336" s="1034"/>
      <c r="G1336" s="1033"/>
      <c r="H1336" s="1035"/>
      <c r="I1336" s="1034"/>
      <c r="J1336" s="954"/>
      <c r="K1336" s="558"/>
      <c r="L1336" s="626"/>
      <c r="M1336" s="627"/>
      <c r="N1336" s="628"/>
      <c r="O1336" s="629"/>
      <c r="P1336" s="629"/>
      <c r="Q1336" s="614"/>
      <c r="R1336" s="1036">
        <f>R1341</f>
        <v>-3083.5672772233884</v>
      </c>
      <c r="S1336" s="631" t="s">
        <v>195</v>
      </c>
      <c r="T1336" s="632">
        <v>22</v>
      </c>
      <c r="U1336" s="492" t="s">
        <v>768</v>
      </c>
      <c r="V1336" s="306"/>
      <c r="W1336" s="175"/>
      <c r="X1336" s="175"/>
      <c r="Y1336" s="175"/>
      <c r="Z1336" s="175"/>
      <c r="AA1336" s="175"/>
    </row>
    <row r="1337" spans="1:27" s="765" customFormat="1" hidden="1">
      <c r="A1337" s="1111"/>
      <c r="B1337" s="1032"/>
      <c r="C1337" s="644"/>
      <c r="D1337" s="1033"/>
      <c r="E1337" s="624"/>
      <c r="F1337" s="1034"/>
      <c r="G1337" s="1033"/>
      <c r="H1337" s="1035"/>
      <c r="I1337" s="1034"/>
      <c r="J1337" s="954"/>
      <c r="K1337" s="558"/>
      <c r="L1337" s="626"/>
      <c r="M1337" s="627"/>
      <c r="N1337" s="628"/>
      <c r="O1337" s="629"/>
      <c r="P1337" s="629"/>
      <c r="Q1337" s="614"/>
      <c r="R1337" s="1036"/>
      <c r="S1337" s="631"/>
      <c r="T1337" s="632"/>
      <c r="U1337" s="492"/>
      <c r="V1337" s="713"/>
      <c r="W1337" s="688"/>
      <c r="X1337" s="688"/>
      <c r="Y1337" s="688"/>
      <c r="Z1337" s="688"/>
      <c r="AA1337" s="688"/>
    </row>
    <row r="1338" spans="1:27" s="765" customFormat="1" hidden="1">
      <c r="A1338" s="1111"/>
      <c r="B1338" s="1032"/>
      <c r="C1338" s="644"/>
      <c r="D1338" s="1033"/>
      <c r="E1338" s="624"/>
      <c r="F1338" s="1034"/>
      <c r="G1338" s="1033"/>
      <c r="H1338" s="1035"/>
      <c r="I1338" s="1034"/>
      <c r="J1338" s="954"/>
      <c r="K1338" s="558"/>
      <c r="L1338" s="626"/>
      <c r="M1338" s="627"/>
      <c r="N1338" s="628"/>
      <c r="O1338" s="629"/>
      <c r="P1338" s="629"/>
      <c r="Q1338" s="821" t="s">
        <v>872</v>
      </c>
      <c r="R1338" s="1098">
        <f>SUM(R1317:R1335)</f>
        <v>16412.567277223388</v>
      </c>
      <c r="S1338" s="627"/>
      <c r="T1338" s="632"/>
      <c r="U1338" s="492"/>
      <c r="V1338" s="713"/>
      <c r="W1338" s="688"/>
      <c r="X1338" s="688"/>
      <c r="Y1338" s="688"/>
      <c r="Z1338" s="688"/>
      <c r="AA1338" s="688"/>
    </row>
    <row r="1339" spans="1:27" s="765" customFormat="1" hidden="1">
      <c r="A1339" s="1111"/>
      <c r="B1339" s="1032"/>
      <c r="C1339" s="644"/>
      <c r="D1339" s="1033"/>
      <c r="E1339" s="624"/>
      <c r="F1339" s="1034"/>
      <c r="G1339" s="1033"/>
      <c r="H1339" s="1035"/>
      <c r="I1339" s="1034"/>
      <c r="J1339" s="954"/>
      <c r="K1339" s="558"/>
      <c r="L1339" s="626"/>
      <c r="M1339" s="627"/>
      <c r="N1339" s="628"/>
      <c r="O1339" s="629"/>
      <c r="P1339" s="629"/>
      <c r="Q1339" s="986" t="s">
        <v>873</v>
      </c>
      <c r="R1339" s="1099">
        <f>J1344</f>
        <v>13329</v>
      </c>
      <c r="S1339" s="1100"/>
      <c r="T1339" s="632"/>
      <c r="U1339" s="492"/>
      <c r="V1339" s="713"/>
      <c r="W1339" s="688"/>
      <c r="X1339" s="688"/>
      <c r="Y1339" s="688"/>
      <c r="Z1339" s="688"/>
      <c r="AA1339" s="688"/>
    </row>
    <row r="1340" spans="1:27" s="765" customFormat="1" hidden="1">
      <c r="A1340" s="1111"/>
      <c r="B1340" s="1032"/>
      <c r="C1340" s="644"/>
      <c r="D1340" s="1033"/>
      <c r="E1340" s="624"/>
      <c r="F1340" s="1034"/>
      <c r="G1340" s="1033"/>
      <c r="H1340" s="1035"/>
      <c r="I1340" s="1034"/>
      <c r="J1340" s="954"/>
      <c r="K1340" s="558"/>
      <c r="L1340" s="626"/>
      <c r="M1340" s="627"/>
      <c r="N1340" s="628"/>
      <c r="O1340" s="629"/>
      <c r="P1340" s="629"/>
      <c r="Q1340" s="986"/>
      <c r="R1340" s="1099"/>
      <c r="S1340" s="1100"/>
      <c r="T1340" s="632"/>
      <c r="U1340" s="492"/>
      <c r="V1340" s="713"/>
      <c r="W1340" s="688"/>
      <c r="X1340" s="688"/>
      <c r="Y1340" s="688"/>
      <c r="Z1340" s="688"/>
      <c r="AA1340" s="688"/>
    </row>
    <row r="1341" spans="1:27" s="765" customFormat="1" hidden="1">
      <c r="A1341" s="1111"/>
      <c r="B1341" s="1032"/>
      <c r="C1341" s="644"/>
      <c r="D1341" s="1033"/>
      <c r="E1341" s="624"/>
      <c r="F1341" s="1034"/>
      <c r="G1341" s="1033"/>
      <c r="H1341" s="1035"/>
      <c r="I1341" s="1034"/>
      <c r="J1341" s="954"/>
      <c r="K1341" s="558"/>
      <c r="L1341" s="626"/>
      <c r="M1341" s="627"/>
      <c r="N1341" s="628"/>
      <c r="O1341" s="629"/>
      <c r="P1341" s="629"/>
      <c r="Q1341" s="1102" t="s">
        <v>874</v>
      </c>
      <c r="R1341" s="1103">
        <f>(R1338-R1339)*-1</f>
        <v>-3083.5672772233884</v>
      </c>
      <c r="S1341" s="1101"/>
      <c r="T1341" s="632"/>
      <c r="U1341" s="492"/>
      <c r="V1341" s="713"/>
      <c r="W1341" s="688"/>
      <c r="X1341" s="688"/>
      <c r="Y1341" s="688"/>
      <c r="Z1341" s="688"/>
      <c r="AA1341" s="688"/>
    </row>
    <row r="1342" spans="1:27" s="765" customFormat="1" hidden="1">
      <c r="A1342" s="1111"/>
      <c r="B1342" s="1032"/>
      <c r="C1342" s="644"/>
      <c r="D1342" s="1033"/>
      <c r="E1342" s="624"/>
      <c r="F1342" s="1034"/>
      <c r="G1342" s="1033"/>
      <c r="H1342" s="1035"/>
      <c r="I1342" s="1034"/>
      <c r="J1342" s="954"/>
      <c r="K1342" s="558"/>
      <c r="L1342" s="626"/>
      <c r="M1342" s="627"/>
      <c r="N1342" s="628"/>
      <c r="O1342" s="629"/>
      <c r="P1342" s="629"/>
      <c r="Q1342" s="614"/>
      <c r="R1342" s="1036"/>
      <c r="S1342" s="631"/>
      <c r="T1342" s="632"/>
      <c r="U1342" s="492"/>
      <c r="V1342" s="713"/>
      <c r="W1342" s="688"/>
      <c r="X1342" s="688"/>
      <c r="Y1342" s="688"/>
      <c r="Z1342" s="688"/>
      <c r="AA1342" s="688"/>
    </row>
    <row r="1343" spans="1:27" s="176" customFormat="1" hidden="1">
      <c r="A1343" s="1110"/>
      <c r="B1343" s="908"/>
      <c r="C1343" s="909"/>
      <c r="D1343" s="436"/>
      <c r="E1343" s="794"/>
      <c r="F1343" s="437"/>
      <c r="G1343" s="436"/>
      <c r="H1343" s="794"/>
      <c r="I1343" s="437"/>
      <c r="J1343" s="769"/>
      <c r="K1343" s="439"/>
      <c r="L1343" s="910"/>
      <c r="M1343" s="911"/>
      <c r="N1343" s="912"/>
      <c r="O1343" s="913"/>
      <c r="P1343" s="913"/>
      <c r="Q1343" s="1030"/>
      <c r="R1343" s="1031"/>
      <c r="S1343" s="914"/>
      <c r="T1343" s="915"/>
      <c r="U1343" s="1119"/>
      <c r="V1343" s="306"/>
      <c r="W1343" s="175"/>
      <c r="X1343" s="175"/>
      <c r="Y1343" s="175"/>
      <c r="Z1343" s="175"/>
      <c r="AA1343" s="175"/>
    </row>
    <row r="1344" spans="1:27" s="40" customFormat="1" hidden="1">
      <c r="A1344" s="1106"/>
      <c r="B1344" s="645"/>
      <c r="C1344" s="2741"/>
      <c r="D1344" s="2548" t="s">
        <v>257</v>
      </c>
      <c r="E1344" s="2549"/>
      <c r="F1344" s="2549"/>
      <c r="G1344" s="2549"/>
      <c r="H1344" s="2549"/>
      <c r="I1344" s="2550"/>
      <c r="J1344" s="2488">
        <f>VLOOKUP(A1346,'11 - FINANCEIRA'!$A$16:$AE$156,30,FALSE)</f>
        <v>13329</v>
      </c>
      <c r="K1344" s="2489"/>
      <c r="L1344" s="590" t="str">
        <f>VLOOKUP(A1346,'11 - FINANCEIRA'!_xlnm.Print_Area,4,FALSE)</f>
        <v>kg</v>
      </c>
      <c r="M1344" s="2561" t="s">
        <v>258</v>
      </c>
      <c r="N1344" s="2562"/>
      <c r="O1344" s="2562"/>
      <c r="P1344" s="2562"/>
      <c r="Q1344" s="2563"/>
      <c r="R1344" s="375">
        <f>SUM(R1317:R1336)</f>
        <v>13329</v>
      </c>
      <c r="S1344" s="591" t="str">
        <f>L1344</f>
        <v>kg</v>
      </c>
      <c r="T1344" s="646"/>
      <c r="U1344" s="391"/>
      <c r="V1344" s="174">
        <f>V1345</f>
        <v>0</v>
      </c>
    </row>
    <row r="1345" spans="1:27" s="40" customFormat="1" hidden="1">
      <c r="A1345" s="1106"/>
      <c r="B1345" s="371"/>
      <c r="C1345" s="2742"/>
      <c r="D1345" s="2505" t="s">
        <v>259</v>
      </c>
      <c r="E1345" s="2506"/>
      <c r="F1345" s="2506"/>
      <c r="G1345" s="2506"/>
      <c r="H1345" s="2506"/>
      <c r="I1345" s="2507"/>
      <c r="J1345" s="2511">
        <f>R1344/J1344</f>
        <v>1</v>
      </c>
      <c r="K1345" s="2512"/>
      <c r="L1345" s="2559"/>
      <c r="M1345" s="2561" t="s">
        <v>260</v>
      </c>
      <c r="N1345" s="2562"/>
      <c r="O1345" s="2562"/>
      <c r="P1345" s="2562"/>
      <c r="Q1345" s="2563"/>
      <c r="R1345" s="375">
        <f>VLOOKUP(A1346,'11 - FINANCEIRA'!_xlnm.Print_Area,8,FALSE)</f>
        <v>13329</v>
      </c>
      <c r="S1345" s="376" t="str">
        <f>L1344</f>
        <v>kg</v>
      </c>
      <c r="T1345" s="372"/>
      <c r="U1345" s="373"/>
      <c r="V1345" s="174">
        <f>V1346</f>
        <v>0</v>
      </c>
    </row>
    <row r="1346" spans="1:27" s="40" customFormat="1" hidden="1">
      <c r="A1346" s="1106" t="s">
        <v>108</v>
      </c>
      <c r="B1346" s="647"/>
      <c r="C1346" s="2743"/>
      <c r="D1346" s="2551"/>
      <c r="E1346" s="2552"/>
      <c r="F1346" s="2552"/>
      <c r="G1346" s="2552"/>
      <c r="H1346" s="2552"/>
      <c r="I1346" s="2553"/>
      <c r="J1346" s="2530"/>
      <c r="K1346" s="2531"/>
      <c r="L1346" s="2560"/>
      <c r="M1346" s="2561" t="s">
        <v>261</v>
      </c>
      <c r="N1346" s="2562"/>
      <c r="O1346" s="2562"/>
      <c r="P1346" s="2562"/>
      <c r="Q1346" s="2563"/>
      <c r="R1346" s="378">
        <f>R1344-R1345</f>
        <v>0</v>
      </c>
      <c r="S1346" s="379" t="str">
        <f>L1344</f>
        <v>kg</v>
      </c>
      <c r="T1346" s="372"/>
      <c r="U1346" s="373"/>
      <c r="V1346" s="174">
        <f>R1346</f>
        <v>0</v>
      </c>
    </row>
    <row r="1347" spans="1:27" s="40" customFormat="1" hidden="1">
      <c r="A1347" s="1106"/>
      <c r="B1347" s="380"/>
      <c r="C1347" s="381"/>
      <c r="D1347" s="382"/>
      <c r="E1347" s="383"/>
      <c r="F1347" s="382"/>
      <c r="G1347" s="382"/>
      <c r="H1347" s="382"/>
      <c r="I1347" s="382"/>
      <c r="J1347" s="384"/>
      <c r="K1347" s="385"/>
      <c r="L1347" s="386"/>
      <c r="M1347" s="387"/>
      <c r="N1347" s="387"/>
      <c r="O1347" s="387"/>
      <c r="P1347" s="387"/>
      <c r="Q1347" s="387"/>
      <c r="R1347" s="388"/>
      <c r="S1347" s="389"/>
      <c r="T1347" s="390"/>
      <c r="U1347" s="391"/>
      <c r="V1347" s="265">
        <f>SUM(V1315:V1346)</f>
        <v>0</v>
      </c>
    </row>
    <row r="1348" spans="1:27" s="176" customFormat="1" hidden="1">
      <c r="A1348" s="1106"/>
      <c r="B1348" s="2494">
        <f>VLOOKUP(A1370,'11 - FINANCEIRA'!_xlnm.Print_Area,2,FALSE)</f>
        <v>2003864</v>
      </c>
      <c r="C1348" s="2498" t="str">
        <f>VLOOKUP(A1370,'11 - FINANCEIRA'!_xlnm.Print_Area,3,FALSE)</f>
        <v>Esgotamento de água com bomba submersa</v>
      </c>
      <c r="D1348" s="2581" t="s">
        <v>242</v>
      </c>
      <c r="E1348" s="2582"/>
      <c r="F1348" s="2582"/>
      <c r="G1348" s="2582"/>
      <c r="H1348" s="2582"/>
      <c r="I1348" s="2583"/>
      <c r="J1348" s="2467" t="s">
        <v>243</v>
      </c>
      <c r="K1348" s="2496" t="s">
        <v>244</v>
      </c>
      <c r="L1348" s="2496" t="s">
        <v>407</v>
      </c>
      <c r="M1348" s="2496" t="s">
        <v>408</v>
      </c>
      <c r="N1348" s="2496" t="s">
        <v>247</v>
      </c>
      <c r="O1348" s="2496" t="s">
        <v>248</v>
      </c>
      <c r="P1348" s="409" t="s">
        <v>249</v>
      </c>
      <c r="Q1348" s="2496" t="s">
        <v>409</v>
      </c>
      <c r="R1348" s="2577" t="s">
        <v>139</v>
      </c>
      <c r="S1348" s="2496" t="s">
        <v>251</v>
      </c>
      <c r="T1348" s="2496" t="s">
        <v>252</v>
      </c>
      <c r="U1348" s="2586" t="s">
        <v>253</v>
      </c>
      <c r="V1348" s="174" t="str">
        <f>V1350</f>
        <v xml:space="preserve">Tem que medir, esta bomba fica a disposição 24 hs, e usamos ela à Montante sempre </v>
      </c>
      <c r="W1348" s="175"/>
      <c r="X1348" s="175"/>
      <c r="Y1348" s="175"/>
      <c r="Z1348" s="175"/>
      <c r="AA1348" s="175"/>
    </row>
    <row r="1349" spans="1:27" s="176" customFormat="1" hidden="1">
      <c r="A1349" s="1106"/>
      <c r="B1349" s="2495"/>
      <c r="C1349" s="2499"/>
      <c r="D1349" s="2588" t="s">
        <v>254</v>
      </c>
      <c r="E1349" s="2589"/>
      <c r="F1349" s="2590"/>
      <c r="G1349" s="2591" t="s">
        <v>255</v>
      </c>
      <c r="H1349" s="2592"/>
      <c r="I1349" s="2593"/>
      <c r="J1349" s="2468"/>
      <c r="K1349" s="2497"/>
      <c r="L1349" s="2497"/>
      <c r="M1349" s="2497"/>
      <c r="N1349" s="2497"/>
      <c r="O1349" s="2497"/>
      <c r="P1349" s="410" t="s">
        <v>256</v>
      </c>
      <c r="Q1349" s="2497"/>
      <c r="R1349" s="2578"/>
      <c r="S1349" s="2497"/>
      <c r="T1349" s="2497"/>
      <c r="U1349" s="2587"/>
      <c r="V1349" s="174" t="str">
        <f>V1351</f>
        <v xml:space="preserve">Tem que medir, esta bomba fica a disposição 24 hs, e usamos ela à Montante sempre </v>
      </c>
      <c r="W1349" s="175"/>
      <c r="X1349" s="175"/>
      <c r="Y1349" s="175"/>
      <c r="Z1349" s="175"/>
      <c r="AA1349" s="175"/>
    </row>
    <row r="1350" spans="1:27" s="176" customFormat="1" ht="30" hidden="1">
      <c r="A1350" s="1106"/>
      <c r="B1350" s="336"/>
      <c r="C1350" s="266" t="s">
        <v>410</v>
      </c>
      <c r="D1350" s="469">
        <v>0</v>
      </c>
      <c r="E1350" s="605" t="s">
        <v>299</v>
      </c>
      <c r="F1350" s="471">
        <v>14.04</v>
      </c>
      <c r="G1350" s="469">
        <v>1</v>
      </c>
      <c r="H1350" s="605" t="s">
        <v>299</v>
      </c>
      <c r="I1350" s="471">
        <v>0</v>
      </c>
      <c r="J1350" s="489"/>
      <c r="K1350" s="489">
        <f>SUM(G1350*20+I1350)-(D1350*20+F1350)</f>
        <v>5.9600000000000009</v>
      </c>
      <c r="L1350" s="489">
        <v>8</v>
      </c>
      <c r="M1350" s="648">
        <v>30</v>
      </c>
      <c r="N1350" s="275"/>
      <c r="O1350" s="275"/>
      <c r="P1350" s="338"/>
      <c r="Q1350" s="489">
        <v>1</v>
      </c>
      <c r="R1350" s="515">
        <f t="shared" ref="R1350:R1358" si="179">TRUNC(Q1350*L1350*M1350,3)</f>
        <v>240</v>
      </c>
      <c r="S1350" s="275" t="s">
        <v>199</v>
      </c>
      <c r="T1350" s="276">
        <v>2</v>
      </c>
      <c r="U1350" s="428" t="s">
        <v>411</v>
      </c>
      <c r="V1350" s="174" t="str">
        <f>V1352</f>
        <v xml:space="preserve">Tem que medir, esta bomba fica a disposição 24 hs, e usamos ela à Montante sempre </v>
      </c>
      <c r="W1350" s="175"/>
      <c r="X1350" s="175"/>
      <c r="Y1350" s="175"/>
      <c r="Z1350" s="175"/>
      <c r="AA1350" s="175"/>
    </row>
    <row r="1351" spans="1:27" s="222" customFormat="1" ht="30" hidden="1">
      <c r="A1351" s="1106"/>
      <c r="B1351" s="348"/>
      <c r="C1351" s="343" t="s">
        <v>412</v>
      </c>
      <c r="D1351" s="496">
        <v>3</v>
      </c>
      <c r="E1351" s="606" t="s">
        <v>299</v>
      </c>
      <c r="F1351" s="498">
        <v>0</v>
      </c>
      <c r="G1351" s="649">
        <v>5</v>
      </c>
      <c r="H1351" s="606" t="s">
        <v>299</v>
      </c>
      <c r="I1351" s="545">
        <v>1.04</v>
      </c>
      <c r="J1351" s="434"/>
      <c r="K1351" s="650">
        <f>SUM(G1351*20+I1351)-(D1351*20+F1351)</f>
        <v>41.040000000000006</v>
      </c>
      <c r="L1351" s="546">
        <v>8</v>
      </c>
      <c r="M1351" s="651">
        <v>30</v>
      </c>
      <c r="N1351" s="652"/>
      <c r="O1351" s="618"/>
      <c r="P1351" s="619"/>
      <c r="Q1351" s="434">
        <v>1</v>
      </c>
      <c r="R1351" s="537">
        <f t="shared" si="179"/>
        <v>240</v>
      </c>
      <c r="S1351" s="340" t="s">
        <v>199</v>
      </c>
      <c r="T1351" s="355">
        <v>3</v>
      </c>
      <c r="U1351" s="435" t="s">
        <v>411</v>
      </c>
      <c r="V1351" s="174" t="str">
        <f>V1362</f>
        <v xml:space="preserve">Tem que medir, esta bomba fica a disposição 24 hs, e usamos ela à Montante sempre </v>
      </c>
    </row>
    <row r="1352" spans="1:27" s="222" customFormat="1" ht="30" hidden="1">
      <c r="A1352" s="1106"/>
      <c r="B1352" s="348"/>
      <c r="C1352" s="343" t="s">
        <v>413</v>
      </c>
      <c r="D1352" s="430">
        <v>5</v>
      </c>
      <c r="E1352" s="653" t="s">
        <v>299</v>
      </c>
      <c r="F1352" s="431">
        <v>1.04</v>
      </c>
      <c r="G1352" s="430">
        <v>7</v>
      </c>
      <c r="H1352" s="653" t="s">
        <v>299</v>
      </c>
      <c r="I1352" s="431">
        <v>0</v>
      </c>
      <c r="J1352" s="543"/>
      <c r="K1352" s="650">
        <f t="shared" ref="K1352:K1357" si="180">SUM(G1352*20+I1352)-(D1352*20+F1352)</f>
        <v>38.959999999999994</v>
      </c>
      <c r="L1352" s="546">
        <v>8</v>
      </c>
      <c r="M1352" s="651">
        <v>30</v>
      </c>
      <c r="N1352" s="652"/>
      <c r="O1352" s="618"/>
      <c r="P1352" s="619"/>
      <c r="Q1352" s="543">
        <v>1</v>
      </c>
      <c r="R1352" s="537">
        <f t="shared" si="179"/>
        <v>240</v>
      </c>
      <c r="S1352" s="340" t="s">
        <v>199</v>
      </c>
      <c r="T1352" s="347">
        <v>4</v>
      </c>
      <c r="U1352" s="435" t="s">
        <v>411</v>
      </c>
      <c r="V1352" s="174" t="str">
        <f>V1362</f>
        <v xml:space="preserve">Tem que medir, esta bomba fica a disposição 24 hs, e usamos ela à Montante sempre </v>
      </c>
    </row>
    <row r="1353" spans="1:27" s="222" customFormat="1" ht="30" hidden="1">
      <c r="A1353" s="1106"/>
      <c r="B1353" s="348"/>
      <c r="C1353" s="343" t="s">
        <v>414</v>
      </c>
      <c r="D1353" s="496">
        <v>7</v>
      </c>
      <c r="E1353" s="606" t="s">
        <v>299</v>
      </c>
      <c r="F1353" s="498">
        <v>0</v>
      </c>
      <c r="G1353" s="496">
        <v>9</v>
      </c>
      <c r="H1353" s="606" t="s">
        <v>299</v>
      </c>
      <c r="I1353" s="498">
        <v>0</v>
      </c>
      <c r="J1353" s="434"/>
      <c r="K1353" s="650">
        <f t="shared" si="180"/>
        <v>40</v>
      </c>
      <c r="L1353" s="546">
        <v>8</v>
      </c>
      <c r="M1353" s="651">
        <v>30</v>
      </c>
      <c r="N1353" s="652"/>
      <c r="O1353" s="618"/>
      <c r="P1353" s="619"/>
      <c r="Q1353" s="434">
        <v>1</v>
      </c>
      <c r="R1353" s="537">
        <f>TRUNC(Q1353*L1353*M1353,3)</f>
        <v>240</v>
      </c>
      <c r="S1353" s="357" t="s">
        <v>199</v>
      </c>
      <c r="T1353" s="355">
        <v>5</v>
      </c>
      <c r="U1353" s="435" t="s">
        <v>411</v>
      </c>
      <c r="V1353" s="174" t="str">
        <f>V1354</f>
        <v xml:space="preserve">Tem que medir, esta bomba fica a disposição 24 hs, e usamos ela à Montante sempre </v>
      </c>
    </row>
    <row r="1354" spans="1:27" s="222" customFormat="1" ht="30" hidden="1">
      <c r="A1354" s="1106"/>
      <c r="B1354" s="348"/>
      <c r="C1354" s="343" t="s">
        <v>415</v>
      </c>
      <c r="D1354" s="611">
        <v>9</v>
      </c>
      <c r="E1354" s="612" t="s">
        <v>299</v>
      </c>
      <c r="F1354" s="565">
        <v>0</v>
      </c>
      <c r="G1354" s="611">
        <v>11</v>
      </c>
      <c r="H1354" s="612" t="s">
        <v>299</v>
      </c>
      <c r="I1354" s="565">
        <v>10</v>
      </c>
      <c r="J1354" s="546"/>
      <c r="K1354" s="650">
        <f t="shared" si="180"/>
        <v>50</v>
      </c>
      <c r="L1354" s="546">
        <v>8</v>
      </c>
      <c r="M1354" s="651">
        <v>30</v>
      </c>
      <c r="N1354" s="652"/>
      <c r="O1354" s="618"/>
      <c r="P1354" s="619"/>
      <c r="Q1354" s="546">
        <v>2</v>
      </c>
      <c r="R1354" s="537">
        <f t="shared" si="179"/>
        <v>480</v>
      </c>
      <c r="S1354" s="357" t="s">
        <v>199</v>
      </c>
      <c r="T1354" s="355">
        <v>6</v>
      </c>
      <c r="U1354" s="435" t="s">
        <v>411</v>
      </c>
      <c r="V1354" s="174" t="str">
        <f t="shared" ref="V1354" si="181">V1362</f>
        <v xml:space="preserve">Tem que medir, esta bomba fica a disposição 24 hs, e usamos ela à Montante sempre </v>
      </c>
    </row>
    <row r="1355" spans="1:27" s="175" customFormat="1" ht="30" hidden="1">
      <c r="A1355" s="1110"/>
      <c r="B1355" s="348"/>
      <c r="C1355" s="343" t="s">
        <v>580</v>
      </c>
      <c r="D1355" s="611">
        <v>11</v>
      </c>
      <c r="E1355" s="612" t="s">
        <v>299</v>
      </c>
      <c r="F1355" s="565">
        <v>10</v>
      </c>
      <c r="G1355" s="611">
        <v>14</v>
      </c>
      <c r="H1355" s="612" t="s">
        <v>299</v>
      </c>
      <c r="I1355" s="565">
        <v>14</v>
      </c>
      <c r="J1355" s="546"/>
      <c r="K1355" s="650">
        <f t="shared" si="180"/>
        <v>64</v>
      </c>
      <c r="L1355" s="546">
        <v>8</v>
      </c>
      <c r="M1355" s="651">
        <v>30</v>
      </c>
      <c r="N1355" s="652"/>
      <c r="O1355" s="618"/>
      <c r="P1355" s="619"/>
      <c r="Q1355" s="546">
        <v>2</v>
      </c>
      <c r="R1355" s="537">
        <f t="shared" si="179"/>
        <v>480</v>
      </c>
      <c r="S1355" s="357" t="s">
        <v>199</v>
      </c>
      <c r="T1355" s="355">
        <v>13</v>
      </c>
      <c r="U1355" s="435" t="s">
        <v>411</v>
      </c>
      <c r="V1355" s="306">
        <f>V1368</f>
        <v>0</v>
      </c>
    </row>
    <row r="1356" spans="1:27" s="175" customFormat="1" ht="30" hidden="1">
      <c r="A1356" s="1110"/>
      <c r="B1356" s="348"/>
      <c r="C1356" s="343" t="s">
        <v>592</v>
      </c>
      <c r="D1356" s="611">
        <v>11</v>
      </c>
      <c r="E1356" s="612" t="s">
        <v>299</v>
      </c>
      <c r="F1356" s="565">
        <v>10</v>
      </c>
      <c r="G1356" s="611">
        <v>19</v>
      </c>
      <c r="H1356" s="612" t="s">
        <v>299</v>
      </c>
      <c r="I1356" s="565">
        <v>2</v>
      </c>
      <c r="J1356" s="546"/>
      <c r="K1356" s="650">
        <f t="shared" si="180"/>
        <v>152</v>
      </c>
      <c r="L1356" s="546">
        <v>8</v>
      </c>
      <c r="M1356" s="651">
        <v>17</v>
      </c>
      <c r="N1356" s="652"/>
      <c r="O1356" s="618"/>
      <c r="P1356" s="619"/>
      <c r="Q1356" s="614">
        <v>2</v>
      </c>
      <c r="R1356" s="537">
        <f t="shared" si="179"/>
        <v>272</v>
      </c>
      <c r="S1356" s="357" t="s">
        <v>199</v>
      </c>
      <c r="T1356" s="355">
        <v>14</v>
      </c>
      <c r="U1356" s="435" t="s">
        <v>411</v>
      </c>
      <c r="V1356" s="306">
        <f>V1369</f>
        <v>0</v>
      </c>
    </row>
    <row r="1357" spans="1:27" s="175" customFormat="1" ht="30" hidden="1">
      <c r="A1357" s="1110"/>
      <c r="B1357" s="348"/>
      <c r="C1357" s="343" t="s">
        <v>665</v>
      </c>
      <c r="D1357" s="611">
        <f>G1356</f>
        <v>19</v>
      </c>
      <c r="E1357" s="612" t="s">
        <v>299</v>
      </c>
      <c r="F1357" s="565">
        <f>I1356</f>
        <v>2</v>
      </c>
      <c r="G1357" s="611">
        <v>22</v>
      </c>
      <c r="H1357" s="612" t="s">
        <v>299</v>
      </c>
      <c r="I1357" s="565">
        <v>0</v>
      </c>
      <c r="J1357" s="546"/>
      <c r="K1357" s="650">
        <f t="shared" si="180"/>
        <v>58</v>
      </c>
      <c r="L1357" s="546">
        <v>8</v>
      </c>
      <c r="M1357" s="651">
        <v>17</v>
      </c>
      <c r="N1357" s="652"/>
      <c r="O1357" s="618"/>
      <c r="P1357" s="619"/>
      <c r="Q1357" s="546">
        <v>2</v>
      </c>
      <c r="R1357" s="537">
        <f t="shared" si="179"/>
        <v>272</v>
      </c>
      <c r="S1357" s="357" t="s">
        <v>199</v>
      </c>
      <c r="T1357" s="355">
        <v>15</v>
      </c>
      <c r="U1357" s="435" t="s">
        <v>411</v>
      </c>
      <c r="V1357" s="306">
        <f>V1370</f>
        <v>0</v>
      </c>
    </row>
    <row r="1358" spans="1:27" s="175" customFormat="1" ht="30" hidden="1">
      <c r="A1358" s="1110"/>
      <c r="B1358" s="348"/>
      <c r="C1358" s="343" t="s">
        <v>881</v>
      </c>
      <c r="D1358" s="611">
        <f>G1357</f>
        <v>22</v>
      </c>
      <c r="E1358" s="612" t="s">
        <v>299</v>
      </c>
      <c r="F1358" s="565">
        <f>I1357</f>
        <v>0</v>
      </c>
      <c r="G1358" s="611">
        <v>24</v>
      </c>
      <c r="H1358" s="612" t="s">
        <v>299</v>
      </c>
      <c r="I1358" s="565">
        <v>3</v>
      </c>
      <c r="J1358" s="546"/>
      <c r="K1358" s="650">
        <f>SUM(G1358*20+I1358)-(D1358*20+F1358)</f>
        <v>43</v>
      </c>
      <c r="L1358" s="546">
        <v>8</v>
      </c>
      <c r="M1358" s="651">
        <v>17</v>
      </c>
      <c r="N1358" s="652"/>
      <c r="O1358" s="618"/>
      <c r="P1358" s="619"/>
      <c r="Q1358" s="546">
        <v>2</v>
      </c>
      <c r="R1358" s="537">
        <f t="shared" si="179"/>
        <v>272</v>
      </c>
      <c r="S1358" s="357" t="s">
        <v>199</v>
      </c>
      <c r="T1358" s="355">
        <v>16</v>
      </c>
      <c r="U1358" s="435" t="s">
        <v>411</v>
      </c>
      <c r="V1358" s="306" t="e">
        <f ca="1">V1371</f>
        <v>#REF!</v>
      </c>
    </row>
    <row r="1359" spans="1:27" s="175" customFormat="1" ht="30" hidden="1">
      <c r="A1359" s="1110"/>
      <c r="B1359" s="348"/>
      <c r="C1359" s="343" t="s">
        <v>960</v>
      </c>
      <c r="D1359" s="611">
        <f>G1358</f>
        <v>24</v>
      </c>
      <c r="E1359" s="612" t="s">
        <v>299</v>
      </c>
      <c r="F1359" s="565">
        <f>I1358</f>
        <v>3</v>
      </c>
      <c r="G1359" s="611">
        <v>25</v>
      </c>
      <c r="H1359" s="612" t="s">
        <v>299</v>
      </c>
      <c r="I1359" s="565">
        <v>16</v>
      </c>
      <c r="J1359" s="546"/>
      <c r="K1359" s="650">
        <f>SUM(G1359*20+I1359)-(D1359*20+F1359)</f>
        <v>33</v>
      </c>
      <c r="L1359" s="546">
        <v>8</v>
      </c>
      <c r="M1359" s="651">
        <v>17</v>
      </c>
      <c r="N1359" s="652"/>
      <c r="O1359" s="618"/>
      <c r="P1359" s="619"/>
      <c r="Q1359" s="546">
        <v>2</v>
      </c>
      <c r="R1359" s="537">
        <f>TRUNC(Q1359*L1359*M1359,3)</f>
        <v>272</v>
      </c>
      <c r="S1359" s="357" t="s">
        <v>199</v>
      </c>
      <c r="T1359" s="355">
        <v>17</v>
      </c>
      <c r="U1359" s="435" t="s">
        <v>411</v>
      </c>
      <c r="V1359" s="306">
        <f>V1372</f>
        <v>0</v>
      </c>
    </row>
    <row r="1360" spans="1:27" s="40" customFormat="1" ht="31.5" hidden="1">
      <c r="A1360" s="1110"/>
      <c r="B1360" s="884"/>
      <c r="C1360" s="343" t="s">
        <v>961</v>
      </c>
      <c r="D1360" s="821">
        <f>G1359</f>
        <v>25</v>
      </c>
      <c r="E1360" s="1184" t="s">
        <v>299</v>
      </c>
      <c r="F1360" s="823">
        <f>I1359</f>
        <v>16</v>
      </c>
      <c r="G1360" s="821">
        <v>31</v>
      </c>
      <c r="H1360" s="1184" t="s">
        <v>299</v>
      </c>
      <c r="I1360" s="823">
        <v>12</v>
      </c>
      <c r="J1360" s="614"/>
      <c r="K1360" s="954">
        <f>SUM(G1360*20+I1360)-(D1360*20+F1360)</f>
        <v>116</v>
      </c>
      <c r="L1360" s="614">
        <v>4</v>
      </c>
      <c r="M1360" s="1185">
        <v>22</v>
      </c>
      <c r="N1360" s="1186"/>
      <c r="O1360" s="1187"/>
      <c r="P1360" s="1188"/>
      <c r="Q1360" s="614">
        <v>1</v>
      </c>
      <c r="R1360" s="537">
        <f>M1360*L1360</f>
        <v>88</v>
      </c>
      <c r="S1360" s="1160" t="s">
        <v>199</v>
      </c>
      <c r="T1360" s="632">
        <v>23</v>
      </c>
      <c r="U1360" s="1189" t="s">
        <v>411</v>
      </c>
      <c r="V1360" s="1190" t="s">
        <v>947</v>
      </c>
    </row>
    <row r="1361" spans="1:27" s="40" customFormat="1" ht="30" hidden="1">
      <c r="A1361" s="1110"/>
      <c r="B1361" s="884"/>
      <c r="C1361" s="343" t="s">
        <v>962</v>
      </c>
      <c r="D1361" s="821">
        <v>25</v>
      </c>
      <c r="E1361" s="1184" t="s">
        <v>299</v>
      </c>
      <c r="F1361" s="823">
        <v>16</v>
      </c>
      <c r="G1361" s="821"/>
      <c r="H1361" s="1184"/>
      <c r="I1361" s="823"/>
      <c r="J1361" s="614"/>
      <c r="K1361" s="558"/>
      <c r="L1361" s="614">
        <v>9</v>
      </c>
      <c r="M1361" s="1185">
        <v>11</v>
      </c>
      <c r="N1361" s="1186"/>
      <c r="O1361" s="1187"/>
      <c r="P1361" s="1188"/>
      <c r="Q1361" s="614">
        <v>1</v>
      </c>
      <c r="R1361" s="537">
        <f>(M1361*L1361)</f>
        <v>99</v>
      </c>
      <c r="S1361" s="1160" t="s">
        <v>199</v>
      </c>
      <c r="T1361" s="632">
        <v>25</v>
      </c>
      <c r="U1361" s="1189"/>
      <c r="V1361" s="1190" t="s">
        <v>947</v>
      </c>
    </row>
    <row r="1362" spans="1:27" s="40" customFormat="1" hidden="1">
      <c r="A1362" s="1110"/>
      <c r="B1362" s="594"/>
      <c r="C1362" s="339" t="s">
        <v>1043</v>
      </c>
      <c r="D1362" s="623">
        <f t="shared" ref="D1362:I1362" si="182">D827</f>
        <v>35</v>
      </c>
      <c r="E1362" s="624" t="str">
        <f t="shared" si="182"/>
        <v>+</v>
      </c>
      <c r="F1362" s="625">
        <f t="shared" si="182"/>
        <v>14</v>
      </c>
      <c r="G1362" s="623">
        <f t="shared" si="182"/>
        <v>39</v>
      </c>
      <c r="H1362" s="624" t="str">
        <f t="shared" si="182"/>
        <v>+</v>
      </c>
      <c r="I1362" s="625">
        <f t="shared" si="182"/>
        <v>16</v>
      </c>
      <c r="J1362" s="558"/>
      <c r="K1362" s="558">
        <f t="shared" ref="K1362" si="183">SUM(G1362*20+I1362)-(D1362*20+F1362)</f>
        <v>82</v>
      </c>
      <c r="L1362" s="558">
        <v>9</v>
      </c>
      <c r="M1362" s="1388">
        <v>22</v>
      </c>
      <c r="N1362" s="1389"/>
      <c r="O1362" s="538"/>
      <c r="P1362" s="536"/>
      <c r="Q1362" s="558">
        <v>1</v>
      </c>
      <c r="R1362" s="537">
        <f>M1362*L1362</f>
        <v>198</v>
      </c>
      <c r="S1362" s="509" t="s">
        <v>199</v>
      </c>
      <c r="T1362" s="539">
        <v>25</v>
      </c>
      <c r="U1362" s="1189"/>
      <c r="V1362" s="1190" t="s">
        <v>947</v>
      </c>
    </row>
    <row r="1363" spans="1:27" s="40" customFormat="1" ht="30" hidden="1">
      <c r="A1363" s="1110"/>
      <c r="B1363" s="594"/>
      <c r="C1363" s="339" t="s">
        <v>1072</v>
      </c>
      <c r="D1363" s="623">
        <f t="shared" ref="D1363:I1367" si="184">D316</f>
        <v>31</v>
      </c>
      <c r="E1363" s="624" t="str">
        <f t="shared" si="184"/>
        <v>+</v>
      </c>
      <c r="F1363" s="625">
        <f t="shared" si="184"/>
        <v>12</v>
      </c>
      <c r="G1363" s="623">
        <f t="shared" si="184"/>
        <v>35</v>
      </c>
      <c r="H1363" s="624" t="str">
        <f t="shared" si="184"/>
        <v>+</v>
      </c>
      <c r="I1363" s="625">
        <f t="shared" si="184"/>
        <v>14</v>
      </c>
      <c r="J1363" s="558"/>
      <c r="K1363" s="558">
        <f>SUM(G1363*20+I1363)-(D1363*20+F1363)</f>
        <v>82</v>
      </c>
      <c r="L1363" s="558">
        <v>9</v>
      </c>
      <c r="M1363" s="1388">
        <v>22</v>
      </c>
      <c r="N1363" s="1389"/>
      <c r="O1363" s="538"/>
      <c r="P1363" s="536"/>
      <c r="Q1363" s="558">
        <v>1</v>
      </c>
      <c r="R1363" s="537">
        <f>M1363*L1363</f>
        <v>198</v>
      </c>
      <c r="S1363" s="509" t="s">
        <v>199</v>
      </c>
      <c r="T1363" s="539">
        <v>26</v>
      </c>
      <c r="U1363" s="1189"/>
      <c r="V1363" s="1190" t="s">
        <v>947</v>
      </c>
    </row>
    <row r="1364" spans="1:27" s="40" customFormat="1" ht="28.9" hidden="1" customHeight="1">
      <c r="A1364" s="1110"/>
      <c r="B1364" s="594"/>
      <c r="C1364" s="339" t="s">
        <v>1106</v>
      </c>
      <c r="D1364" s="623">
        <f t="shared" si="184"/>
        <v>39</v>
      </c>
      <c r="E1364" s="624" t="str">
        <f t="shared" si="184"/>
        <v>+</v>
      </c>
      <c r="F1364" s="625">
        <f t="shared" si="184"/>
        <v>16</v>
      </c>
      <c r="G1364" s="623">
        <f t="shared" si="184"/>
        <v>41</v>
      </c>
      <c r="H1364" s="624" t="str">
        <f t="shared" si="184"/>
        <v>+</v>
      </c>
      <c r="I1364" s="625">
        <f t="shared" si="184"/>
        <v>16</v>
      </c>
      <c r="J1364" s="558"/>
      <c r="K1364" s="558">
        <f>SUM(G1364*20+I1364)-(D1364*20+F1364)</f>
        <v>40</v>
      </c>
      <c r="L1364" s="558">
        <v>9</v>
      </c>
      <c r="M1364" s="1388">
        <v>22</v>
      </c>
      <c r="N1364" s="1389"/>
      <c r="O1364" s="538"/>
      <c r="P1364" s="536"/>
      <c r="Q1364" s="558">
        <v>1</v>
      </c>
      <c r="R1364" s="537">
        <v>96</v>
      </c>
      <c r="S1364" s="509" t="s">
        <v>199</v>
      </c>
      <c r="T1364" s="539">
        <v>26</v>
      </c>
      <c r="U1364" s="1189"/>
      <c r="V1364" s="1190"/>
    </row>
    <row r="1365" spans="1:27" s="40" customFormat="1" ht="28.9" hidden="1" customHeight="1">
      <c r="A1365" s="1110"/>
      <c r="B1365" s="594"/>
      <c r="C1365" s="339" t="s">
        <v>1107</v>
      </c>
      <c r="D1365" s="623">
        <f t="shared" si="184"/>
        <v>41</v>
      </c>
      <c r="E1365" s="624" t="str">
        <f t="shared" si="184"/>
        <v>+</v>
      </c>
      <c r="F1365" s="625">
        <f t="shared" si="184"/>
        <v>16</v>
      </c>
      <c r="G1365" s="623">
        <f t="shared" si="184"/>
        <v>42</v>
      </c>
      <c r="H1365" s="624" t="str">
        <f t="shared" si="184"/>
        <v>+</v>
      </c>
      <c r="I1365" s="625">
        <f t="shared" si="184"/>
        <v>12</v>
      </c>
      <c r="J1365" s="558"/>
      <c r="K1365" s="558">
        <f>SUM(G1365*20+I1365)-(D1365*20+F1365)</f>
        <v>16</v>
      </c>
      <c r="L1365" s="558">
        <v>9</v>
      </c>
      <c r="M1365" s="1388">
        <v>26</v>
      </c>
      <c r="N1365" s="1389"/>
      <c r="O1365" s="538"/>
      <c r="P1365" s="536"/>
      <c r="Q1365" s="558">
        <v>1</v>
      </c>
      <c r="R1365" s="537">
        <f>M1365*L1365</f>
        <v>234</v>
      </c>
      <c r="S1365" s="509" t="s">
        <v>199</v>
      </c>
      <c r="T1365" s="539">
        <v>27</v>
      </c>
      <c r="U1365" s="1189"/>
      <c r="V1365" s="1190"/>
    </row>
    <row r="1366" spans="1:27" s="40" customFormat="1" ht="28.9" hidden="1" customHeight="1">
      <c r="A1366" s="1110"/>
      <c r="B1366" s="594"/>
      <c r="C1366" s="339" t="s">
        <v>1130</v>
      </c>
      <c r="D1366" s="623">
        <f t="shared" si="184"/>
        <v>31</v>
      </c>
      <c r="E1366" s="624" t="str">
        <f t="shared" si="184"/>
        <v>+</v>
      </c>
      <c r="F1366" s="625">
        <f t="shared" si="184"/>
        <v>12</v>
      </c>
      <c r="G1366" s="623">
        <f t="shared" si="184"/>
        <v>37</v>
      </c>
      <c r="H1366" s="624" t="str">
        <f t="shared" si="184"/>
        <v>+</v>
      </c>
      <c r="I1366" s="625">
        <f t="shared" si="184"/>
        <v>12</v>
      </c>
      <c r="J1366" s="558"/>
      <c r="K1366" s="558">
        <f>SUM(G1366*20+I1366)-(D1366*20+F1366)</f>
        <v>120</v>
      </c>
      <c r="L1366" s="558">
        <v>9</v>
      </c>
      <c r="M1366" s="1388">
        <v>26</v>
      </c>
      <c r="N1366" s="1389"/>
      <c r="O1366" s="538"/>
      <c r="P1366" s="536"/>
      <c r="Q1366" s="558">
        <v>1</v>
      </c>
      <c r="R1366" s="537">
        <v>154</v>
      </c>
      <c r="S1366" s="509" t="s">
        <v>199</v>
      </c>
      <c r="T1366" s="539">
        <v>27</v>
      </c>
      <c r="U1366" s="1189"/>
      <c r="V1366" s="1190"/>
    </row>
    <row r="1367" spans="1:27" s="40" customFormat="1" ht="28.9" hidden="1" customHeight="1">
      <c r="A1367" s="1110"/>
      <c r="B1367" s="884"/>
      <c r="C1367" s="547" t="s">
        <v>1131</v>
      </c>
      <c r="D1367" s="821">
        <f t="shared" si="184"/>
        <v>31</v>
      </c>
      <c r="E1367" s="1184" t="str">
        <f t="shared" si="184"/>
        <v>+</v>
      </c>
      <c r="F1367" s="823">
        <f t="shared" si="184"/>
        <v>12</v>
      </c>
      <c r="G1367" s="821">
        <f t="shared" si="184"/>
        <v>42</v>
      </c>
      <c r="H1367" s="1184" t="str">
        <f t="shared" si="184"/>
        <v>+</v>
      </c>
      <c r="I1367" s="823">
        <f t="shared" si="184"/>
        <v>2</v>
      </c>
      <c r="J1367" s="614"/>
      <c r="K1367" s="614">
        <f>SUM(G1367*20+I1367)-(D1367*20+F1367)</f>
        <v>210</v>
      </c>
      <c r="L1367" s="614">
        <v>9</v>
      </c>
      <c r="M1367" s="1185">
        <v>26</v>
      </c>
      <c r="N1367" s="1186"/>
      <c r="O1367" s="1187"/>
      <c r="P1367" s="1188"/>
      <c r="Q1367" s="614">
        <v>1</v>
      </c>
      <c r="R1367" s="1672"/>
      <c r="S1367" s="1160" t="s">
        <v>199</v>
      </c>
      <c r="T1367" s="632">
        <v>27</v>
      </c>
      <c r="U1367" s="1673"/>
      <c r="V1367" s="1190"/>
    </row>
    <row r="1368" spans="1:27" s="40" customFormat="1" hidden="1">
      <c r="A1368" s="1106"/>
      <c r="B1368" s="1674"/>
      <c r="C1368" s="1624"/>
      <c r="D1368" s="2548" t="s">
        <v>257</v>
      </c>
      <c r="E1368" s="2549"/>
      <c r="F1368" s="2549"/>
      <c r="G1368" s="2549"/>
      <c r="H1368" s="2549"/>
      <c r="I1368" s="2550"/>
      <c r="J1368" s="2490">
        <f>VLOOKUP(A1370,'11 - FINANCEIRA'!$A$16:$AE$156,30,FALSE)</f>
        <v>4075.2</v>
      </c>
      <c r="K1368" s="2491"/>
      <c r="L1368" s="590" t="str">
        <f>VLOOKUP(A1370,'11 - FINANCEIRA'!_xlnm.Print_Area,4,FALSE)</f>
        <v>h</v>
      </c>
      <c r="M1368" s="2561" t="s">
        <v>258</v>
      </c>
      <c r="N1368" s="2562"/>
      <c r="O1368" s="2562"/>
      <c r="P1368" s="2562"/>
      <c r="Q1368" s="2563"/>
      <c r="R1368" s="375">
        <f>SUM(R1350:R1367)</f>
        <v>4075</v>
      </c>
      <c r="S1368" s="591" t="str">
        <f>L1368</f>
        <v>h</v>
      </c>
      <c r="T1368" s="390"/>
      <c r="U1368" s="391"/>
      <c r="V1368" s="174">
        <f>V1369</f>
        <v>0</v>
      </c>
    </row>
    <row r="1369" spans="1:27" s="40" customFormat="1" hidden="1">
      <c r="A1369" s="1106"/>
      <c r="B1369" s="884"/>
      <c r="C1369" s="1625"/>
      <c r="D1369" s="2505" t="s">
        <v>259</v>
      </c>
      <c r="E1369" s="2506"/>
      <c r="F1369" s="2506"/>
      <c r="G1369" s="2506"/>
      <c r="H1369" s="2506"/>
      <c r="I1369" s="2507"/>
      <c r="J1369" s="2511">
        <f>R1368/J1368</f>
        <v>0.9999509226541029</v>
      </c>
      <c r="K1369" s="2512"/>
      <c r="L1369" s="2559"/>
      <c r="M1369" s="2561" t="s">
        <v>260</v>
      </c>
      <c r="N1369" s="2562"/>
      <c r="O1369" s="2562"/>
      <c r="P1369" s="2562"/>
      <c r="Q1369" s="2563"/>
      <c r="R1369" s="375">
        <f>VLOOKUP(A1370,'11 - FINANCEIRA'!_xlnm.Print_Area,8,FALSE)</f>
        <v>4075</v>
      </c>
      <c r="S1369" s="376" t="str">
        <f>L1368</f>
        <v>h</v>
      </c>
      <c r="T1369" s="372"/>
      <c r="U1369" s="373"/>
      <c r="V1369" s="174">
        <f>V1370</f>
        <v>0</v>
      </c>
    </row>
    <row r="1370" spans="1:27" s="40" customFormat="1" hidden="1">
      <c r="A1370" s="1106" t="s">
        <v>109</v>
      </c>
      <c r="B1370" s="371"/>
      <c r="C1370" s="1626"/>
      <c r="D1370" s="2551"/>
      <c r="E1370" s="2552"/>
      <c r="F1370" s="2552"/>
      <c r="G1370" s="2552"/>
      <c r="H1370" s="2552"/>
      <c r="I1370" s="2553"/>
      <c r="J1370" s="2530"/>
      <c r="K1370" s="2531"/>
      <c r="L1370" s="2560"/>
      <c r="M1370" s="2561" t="s">
        <v>261</v>
      </c>
      <c r="N1370" s="2562"/>
      <c r="O1370" s="2562"/>
      <c r="P1370" s="2562"/>
      <c r="Q1370" s="2563"/>
      <c r="R1370" s="378">
        <f>R1368-R1369</f>
        <v>0</v>
      </c>
      <c r="S1370" s="379" t="str">
        <f>L1368</f>
        <v>h</v>
      </c>
      <c r="T1370" s="372"/>
      <c r="U1370" s="373"/>
      <c r="V1370" s="174">
        <f>R1370</f>
        <v>0</v>
      </c>
    </row>
    <row r="1371" spans="1:27" s="40" customFormat="1" hidden="1">
      <c r="A1371" s="1106"/>
      <c r="B1371" s="394"/>
      <c r="C1371" s="395"/>
      <c r="D1371" s="396"/>
      <c r="E1371" s="397"/>
      <c r="F1371" s="396"/>
      <c r="G1371" s="396"/>
      <c r="H1371" s="396"/>
      <c r="I1371" s="396"/>
      <c r="J1371" s="398"/>
      <c r="K1371" s="399"/>
      <c r="L1371" s="400"/>
      <c r="M1371" s="401"/>
      <c r="N1371" s="401"/>
      <c r="O1371" s="401"/>
      <c r="P1371" s="401"/>
      <c r="Q1371" s="401"/>
      <c r="R1371" s="402"/>
      <c r="S1371" s="403"/>
      <c r="T1371" s="404"/>
      <c r="U1371" s="405"/>
      <c r="V1371" s="265" t="e">
        <f ca="1">SUM(V1348:V1370)</f>
        <v>#REF!</v>
      </c>
    </row>
    <row r="1372" spans="1:27" s="176" customFormat="1" hidden="1">
      <c r="A1372" s="1104"/>
      <c r="B1372" s="2463">
        <f>VLOOKUP(A1380,'11 - FINANCEIRA'!_xlnm.Print_Area,2,FALSE)</f>
        <v>7060100030</v>
      </c>
      <c r="C1372" s="2503" t="str">
        <f>'11 - FINANCEIRA'!C118</f>
        <v>Rebaixamento de lençol freatico c/ pomt filtrantes</v>
      </c>
      <c r="D1372" s="2472" t="s">
        <v>242</v>
      </c>
      <c r="E1372" s="2473"/>
      <c r="F1372" s="2473"/>
      <c r="G1372" s="2473"/>
      <c r="H1372" s="2473"/>
      <c r="I1372" s="2474"/>
      <c r="J1372" s="2467" t="s">
        <v>373</v>
      </c>
      <c r="K1372" s="2467" t="s">
        <v>244</v>
      </c>
      <c r="L1372" s="2467" t="s">
        <v>245</v>
      </c>
      <c r="M1372" s="2467" t="s">
        <v>246</v>
      </c>
      <c r="N1372" s="2467" t="s">
        <v>247</v>
      </c>
      <c r="O1372" s="2467" t="s">
        <v>248</v>
      </c>
      <c r="P1372" s="173" t="s">
        <v>249</v>
      </c>
      <c r="Q1372" s="2467" t="s">
        <v>250</v>
      </c>
      <c r="R1372" s="2579" t="s">
        <v>139</v>
      </c>
      <c r="S1372" s="2467" t="s">
        <v>251</v>
      </c>
      <c r="T1372" s="2467" t="s">
        <v>252</v>
      </c>
      <c r="U1372" s="2584" t="s">
        <v>253</v>
      </c>
      <c r="V1372" s="174">
        <f t="shared" ref="V1372:V1379" si="185">V1373</f>
        <v>0</v>
      </c>
      <c r="W1372" s="175"/>
      <c r="X1372" s="175"/>
      <c r="Y1372" s="175"/>
      <c r="Z1372" s="175"/>
      <c r="AA1372" s="175"/>
    </row>
    <row r="1373" spans="1:27" s="176" customFormat="1" hidden="1">
      <c r="A1373" s="1104"/>
      <c r="B1373" s="2464" t="e">
        <f>LEFT(#REF!,5)</f>
        <v>#REF!</v>
      </c>
      <c r="C1373" s="2504" t="e">
        <f>VLOOKUP(LEFT(#REF!,5),'11 - FINANCEIRA'!_xlnm.Print_Area,2,FALSE)</f>
        <v>#REF!</v>
      </c>
      <c r="D1373" s="2475" t="s">
        <v>254</v>
      </c>
      <c r="E1373" s="2476"/>
      <c r="F1373" s="2477"/>
      <c r="G1373" s="2469" t="s">
        <v>255</v>
      </c>
      <c r="H1373" s="2470"/>
      <c r="I1373" s="2471"/>
      <c r="J1373" s="2468"/>
      <c r="K1373" s="2468"/>
      <c r="L1373" s="2468"/>
      <c r="M1373" s="2468"/>
      <c r="N1373" s="2468"/>
      <c r="O1373" s="2468"/>
      <c r="P1373" s="177" t="s">
        <v>256</v>
      </c>
      <c r="Q1373" s="2468"/>
      <c r="R1373" s="2580"/>
      <c r="S1373" s="2468"/>
      <c r="T1373" s="2468"/>
      <c r="U1373" s="2585"/>
      <c r="V1373" s="174">
        <f t="shared" si="185"/>
        <v>0</v>
      </c>
      <c r="W1373" s="175"/>
      <c r="X1373" s="175"/>
      <c r="Y1373" s="175"/>
      <c r="Z1373" s="175"/>
      <c r="AA1373" s="175"/>
    </row>
    <row r="1374" spans="1:27" s="176" customFormat="1" hidden="1">
      <c r="A1374" s="1104"/>
      <c r="B1374" s="178"/>
      <c r="C1374" s="516"/>
      <c r="D1374" s="327"/>
      <c r="E1374" s="328"/>
      <c r="F1374" s="329"/>
      <c r="G1374" s="330"/>
      <c r="H1374" s="331"/>
      <c r="I1374" s="654"/>
      <c r="J1374" s="333"/>
      <c r="K1374" s="333"/>
      <c r="L1374" s="333"/>
      <c r="M1374" s="333"/>
      <c r="N1374" s="333"/>
      <c r="O1374" s="333"/>
      <c r="P1374" s="334"/>
      <c r="Q1374" s="333"/>
      <c r="R1374" s="517"/>
      <c r="S1374" s="333"/>
      <c r="T1374" s="518"/>
      <c r="U1374" s="621"/>
      <c r="V1374" s="174">
        <f t="shared" si="185"/>
        <v>0</v>
      </c>
      <c r="W1374" s="175"/>
      <c r="X1374" s="175"/>
      <c r="Y1374" s="175"/>
      <c r="Z1374" s="175"/>
      <c r="AA1374" s="175"/>
    </row>
    <row r="1375" spans="1:27" s="176" customFormat="1" hidden="1">
      <c r="A1375" s="1104"/>
      <c r="B1375" s="195"/>
      <c r="C1375" s="277"/>
      <c r="D1375" s="278"/>
      <c r="E1375" s="279"/>
      <c r="F1375" s="280"/>
      <c r="G1375" s="281"/>
      <c r="H1375" s="282"/>
      <c r="I1375" s="283"/>
      <c r="J1375" s="284"/>
      <c r="K1375" s="278"/>
      <c r="L1375" s="284"/>
      <c r="M1375" s="280"/>
      <c r="N1375" s="279"/>
      <c r="O1375" s="278"/>
      <c r="P1375" s="285"/>
      <c r="Q1375" s="280"/>
      <c r="R1375" s="203"/>
      <c r="S1375" s="284"/>
      <c r="T1375" s="286"/>
      <c r="U1375" s="205"/>
      <c r="V1375" s="174">
        <f>V1376</f>
        <v>0</v>
      </c>
      <c r="W1375" s="175"/>
      <c r="X1375" s="175"/>
      <c r="Y1375" s="175"/>
      <c r="Z1375" s="175"/>
      <c r="AA1375" s="175"/>
    </row>
    <row r="1376" spans="1:27" s="222" customFormat="1" hidden="1">
      <c r="A1376" s="1105"/>
      <c r="B1376" s="206"/>
      <c r="C1376" s="287"/>
      <c r="D1376" s="288"/>
      <c r="E1376" s="289"/>
      <c r="F1376" s="290"/>
      <c r="G1376" s="288"/>
      <c r="H1376" s="289"/>
      <c r="I1376" s="290"/>
      <c r="J1376" s="201"/>
      <c r="K1376" s="291"/>
      <c r="L1376" s="291"/>
      <c r="M1376" s="291"/>
      <c r="N1376" s="291"/>
      <c r="O1376" s="292"/>
      <c r="P1376" s="291"/>
      <c r="Q1376" s="292"/>
      <c r="R1376" s="218"/>
      <c r="S1376" s="293"/>
      <c r="T1376" s="204"/>
      <c r="U1376" s="221"/>
      <c r="V1376" s="174">
        <f t="shared" si="185"/>
        <v>0</v>
      </c>
    </row>
    <row r="1377" spans="1:27" s="222" customFormat="1" hidden="1">
      <c r="A1377" s="1105"/>
      <c r="B1377" s="223"/>
      <c r="C1377" s="224"/>
      <c r="D1377" s="225"/>
      <c r="E1377" s="226"/>
      <c r="F1377" s="227"/>
      <c r="G1377" s="225"/>
      <c r="H1377" s="226"/>
      <c r="I1377" s="227"/>
      <c r="J1377" s="228"/>
      <c r="K1377" s="229"/>
      <c r="L1377" s="230"/>
      <c r="M1377" s="231"/>
      <c r="N1377" s="232"/>
      <c r="O1377" s="233"/>
      <c r="P1377" s="230"/>
      <c r="Q1377" s="234"/>
      <c r="R1377" s="235"/>
      <c r="S1377" s="236"/>
      <c r="T1377" s="294"/>
      <c r="U1377" s="238"/>
      <c r="V1377" s="174">
        <f t="shared" si="185"/>
        <v>0</v>
      </c>
    </row>
    <row r="1378" spans="1:27" s="40" customFormat="1" hidden="1">
      <c r="A1378" s="1106"/>
      <c r="B1378" s="246"/>
      <c r="C1378" s="240"/>
      <c r="D1378" s="2527" t="s">
        <v>257</v>
      </c>
      <c r="E1378" s="2528"/>
      <c r="F1378" s="2528"/>
      <c r="G1378" s="2528"/>
      <c r="H1378" s="2528"/>
      <c r="I1378" s="2529"/>
      <c r="J1378" s="2488">
        <f>VLOOKUP(A1380,'11 - FINANCEIRA'!$A$16:$AE$156,30,FALSE)</f>
        <v>6</v>
      </c>
      <c r="K1378" s="2489"/>
      <c r="L1378" s="309" t="str">
        <f>VLOOKUP(A1380,'11 - FINANCEIRA'!_xlnm.Print_Area,4,FALSE)</f>
        <v>mês</v>
      </c>
      <c r="M1378" s="2556" t="s">
        <v>258</v>
      </c>
      <c r="N1378" s="2557"/>
      <c r="O1378" s="2557"/>
      <c r="P1378" s="2557"/>
      <c r="Q1378" s="2558"/>
      <c r="R1378" s="248">
        <f>SUM(R1374:R1377)</f>
        <v>0</v>
      </c>
      <c r="S1378" s="310" t="str">
        <f>L1378</f>
        <v>mês</v>
      </c>
      <c r="T1378" s="244"/>
      <c r="U1378" s="245"/>
      <c r="V1378" s="174">
        <f t="shared" si="185"/>
        <v>0</v>
      </c>
    </row>
    <row r="1379" spans="1:27" s="40" customFormat="1" hidden="1">
      <c r="A1379" s="1106"/>
      <c r="B1379" s="246"/>
      <c r="C1379" s="247"/>
      <c r="D1379" s="2521" t="s">
        <v>259</v>
      </c>
      <c r="E1379" s="2522"/>
      <c r="F1379" s="2522"/>
      <c r="G1379" s="2522"/>
      <c r="H1379" s="2522"/>
      <c r="I1379" s="2523"/>
      <c r="J1379" s="2515">
        <f>R1378/J1378</f>
        <v>0</v>
      </c>
      <c r="K1379" s="2516"/>
      <c r="L1379" s="2554"/>
      <c r="M1379" s="2556" t="s">
        <v>260</v>
      </c>
      <c r="N1379" s="2557"/>
      <c r="O1379" s="2557"/>
      <c r="P1379" s="2557"/>
      <c r="Q1379" s="2558"/>
      <c r="R1379" s="248">
        <f>VLOOKUP(A1380,'11 - FINANCEIRA'!_xlnm.Print_Area,8,FALSE)</f>
        <v>0</v>
      </c>
      <c r="S1379" s="249" t="str">
        <f>L1378</f>
        <v>mês</v>
      </c>
      <c r="T1379" s="244"/>
      <c r="U1379" s="245"/>
      <c r="V1379" s="174">
        <f t="shared" si="185"/>
        <v>0</v>
      </c>
    </row>
    <row r="1380" spans="1:27" s="40" customFormat="1" hidden="1">
      <c r="A1380" s="1106" t="s">
        <v>110</v>
      </c>
      <c r="B1380" s="246"/>
      <c r="C1380" s="240"/>
      <c r="D1380" s="2524"/>
      <c r="E1380" s="2525"/>
      <c r="F1380" s="2525"/>
      <c r="G1380" s="2525"/>
      <c r="H1380" s="2525"/>
      <c r="I1380" s="2526"/>
      <c r="J1380" s="2519"/>
      <c r="K1380" s="2520"/>
      <c r="L1380" s="2570"/>
      <c r="M1380" s="2574" t="s">
        <v>261</v>
      </c>
      <c r="N1380" s="2575"/>
      <c r="O1380" s="2575"/>
      <c r="P1380" s="2575"/>
      <c r="Q1380" s="2576"/>
      <c r="R1380" s="251">
        <f>R1378-R1379</f>
        <v>0</v>
      </c>
      <c r="S1380" s="252" t="str">
        <f>L1378</f>
        <v>mês</v>
      </c>
      <c r="T1380" s="244"/>
      <c r="U1380" s="245"/>
      <c r="V1380" s="174">
        <f>R1380</f>
        <v>0</v>
      </c>
    </row>
    <row r="1381" spans="1:27" s="40" customFormat="1" hidden="1">
      <c r="A1381" s="1106"/>
      <c r="B1381" s="311"/>
      <c r="C1381" s="312"/>
      <c r="D1381" s="313"/>
      <c r="E1381" s="314"/>
      <c r="F1381" s="313"/>
      <c r="G1381" s="313"/>
      <c r="H1381" s="313"/>
      <c r="I1381" s="313"/>
      <c r="J1381" s="315"/>
      <c r="K1381" s="316"/>
      <c r="L1381" s="317"/>
      <c r="M1381" s="318"/>
      <c r="N1381" s="318"/>
      <c r="O1381" s="318"/>
      <c r="P1381" s="318"/>
      <c r="Q1381" s="318"/>
      <c r="R1381" s="319"/>
      <c r="S1381" s="320"/>
      <c r="T1381" s="321"/>
      <c r="U1381" s="322"/>
      <c r="V1381" s="265">
        <f>SUM(V1372:V1380)</f>
        <v>0</v>
      </c>
    </row>
    <row r="1382" spans="1:27" s="176" customFormat="1" hidden="1">
      <c r="A1382" s="1106"/>
      <c r="B1382" s="2494">
        <f>VLOOKUP(A1401,'11 - FINANCEIRA'!_xlnm.Print_Area,2,FALSE)</f>
        <v>7050100030</v>
      </c>
      <c r="C1382" s="2492" t="str">
        <f>VLOOKUP(A1401,'11 - FINANCEIRA'!_xlnm.Print_Area,3,FALSE)</f>
        <v>Escoramento cavas com prancha metalica</v>
      </c>
      <c r="D1382" s="2581" t="s">
        <v>242</v>
      </c>
      <c r="E1382" s="2582"/>
      <c r="F1382" s="2582"/>
      <c r="G1382" s="2582"/>
      <c r="H1382" s="2582"/>
      <c r="I1382" s="2583"/>
      <c r="J1382" s="2496" t="s">
        <v>243</v>
      </c>
      <c r="K1382" s="2496" t="s">
        <v>244</v>
      </c>
      <c r="L1382" s="2496" t="s">
        <v>343</v>
      </c>
      <c r="M1382" s="2496" t="s">
        <v>246</v>
      </c>
      <c r="N1382" s="2496" t="s">
        <v>247</v>
      </c>
      <c r="O1382" s="2496" t="s">
        <v>248</v>
      </c>
      <c r="P1382" s="409" t="s">
        <v>249</v>
      </c>
      <c r="Q1382" s="2577" t="s">
        <v>139</v>
      </c>
      <c r="R1382" s="2577" t="s">
        <v>139</v>
      </c>
      <c r="S1382" s="2496" t="s">
        <v>251</v>
      </c>
      <c r="T1382" s="2496" t="s">
        <v>252</v>
      </c>
      <c r="U1382" s="2586" t="s">
        <v>253</v>
      </c>
      <c r="V1382" s="174" t="e">
        <f>V1383</f>
        <v>#REF!</v>
      </c>
      <c r="W1382" s="175"/>
      <c r="X1382" s="175"/>
      <c r="Y1382" s="175"/>
      <c r="Z1382" s="175"/>
      <c r="AA1382" s="175"/>
    </row>
    <row r="1383" spans="1:27" s="176" customFormat="1" hidden="1">
      <c r="A1383" s="1106"/>
      <c r="B1383" s="2495"/>
      <c r="C1383" s="2493"/>
      <c r="D1383" s="2588" t="s">
        <v>254</v>
      </c>
      <c r="E1383" s="2589"/>
      <c r="F1383" s="2590"/>
      <c r="G1383" s="2591" t="s">
        <v>255</v>
      </c>
      <c r="H1383" s="2592"/>
      <c r="I1383" s="2593"/>
      <c r="J1383" s="2497"/>
      <c r="K1383" s="2497"/>
      <c r="L1383" s="2497"/>
      <c r="M1383" s="2497"/>
      <c r="N1383" s="2497"/>
      <c r="O1383" s="2497"/>
      <c r="P1383" s="410" t="s">
        <v>256</v>
      </c>
      <c r="Q1383" s="2578"/>
      <c r="R1383" s="2578"/>
      <c r="S1383" s="2497"/>
      <c r="T1383" s="2497"/>
      <c r="U1383" s="2587"/>
      <c r="V1383" s="174" t="e">
        <f>V1384</f>
        <v>#REF!</v>
      </c>
      <c r="W1383" s="175"/>
      <c r="X1383" s="175"/>
      <c r="Y1383" s="175"/>
      <c r="Z1383" s="175"/>
      <c r="AA1383" s="175"/>
    </row>
    <row r="1384" spans="1:27" s="176" customFormat="1" hidden="1">
      <c r="A1384" s="1106"/>
      <c r="B1384" s="336"/>
      <c r="C1384" s="495" t="s">
        <v>548</v>
      </c>
      <c r="D1384" s="469">
        <v>0</v>
      </c>
      <c r="E1384" s="605" t="s">
        <v>299</v>
      </c>
      <c r="F1384" s="471">
        <v>14.04</v>
      </c>
      <c r="G1384" s="469">
        <v>9</v>
      </c>
      <c r="H1384" s="605" t="s">
        <v>299</v>
      </c>
      <c r="I1384" s="471">
        <v>0</v>
      </c>
      <c r="J1384" s="489" t="s">
        <v>309</v>
      </c>
      <c r="K1384" s="489">
        <f t="shared" ref="K1384:K1396" si="186">SUM(G1384*20+I1384)-(D1384*20+F1384)</f>
        <v>165.96</v>
      </c>
      <c r="L1384" s="489"/>
      <c r="M1384" s="489">
        <v>3.4</v>
      </c>
      <c r="N1384" s="489"/>
      <c r="O1384" s="275"/>
      <c r="P1384" s="338"/>
      <c r="Q1384" s="489">
        <v>2</v>
      </c>
      <c r="R1384" s="346">
        <f>TRUNC(SUM(Q1384*K1384*M1384),3)</f>
        <v>1128.528</v>
      </c>
      <c r="S1384" s="411" t="s">
        <v>151</v>
      </c>
      <c r="T1384" s="276">
        <v>5</v>
      </c>
      <c r="U1384" s="428"/>
      <c r="V1384" s="174" t="e">
        <f>V1385</f>
        <v>#REF!</v>
      </c>
      <c r="W1384" s="175"/>
      <c r="X1384" s="175"/>
      <c r="Y1384" s="175"/>
      <c r="Z1384" s="175"/>
      <c r="AA1384" s="175"/>
    </row>
    <row r="1385" spans="1:27" s="176" customFormat="1" ht="30" hidden="1">
      <c r="A1385" s="1110"/>
      <c r="B1385" s="296"/>
      <c r="C1385" s="495" t="s">
        <v>548</v>
      </c>
      <c r="D1385" s="496">
        <v>9</v>
      </c>
      <c r="E1385" s="606" t="s">
        <v>299</v>
      </c>
      <c r="F1385" s="498">
        <v>0</v>
      </c>
      <c r="G1385" s="496">
        <v>11</v>
      </c>
      <c r="H1385" s="606" t="s">
        <v>299</v>
      </c>
      <c r="I1385" s="498">
        <v>10</v>
      </c>
      <c r="J1385" s="434" t="s">
        <v>309</v>
      </c>
      <c r="K1385" s="434">
        <f t="shared" si="186"/>
        <v>50</v>
      </c>
      <c r="L1385" s="434"/>
      <c r="M1385" s="434">
        <v>3.4</v>
      </c>
      <c r="N1385" s="434"/>
      <c r="O1385" s="340"/>
      <c r="P1385" s="461"/>
      <c r="Q1385" s="434">
        <v>2</v>
      </c>
      <c r="R1385" s="346">
        <f>TRUNC(SUM(Q1385*K1385*M1385),3)</f>
        <v>340</v>
      </c>
      <c r="S1385" s="340" t="s">
        <v>151</v>
      </c>
      <c r="T1385" s="347">
        <v>6</v>
      </c>
      <c r="U1385" s="655" t="s">
        <v>416</v>
      </c>
      <c r="V1385" s="306" t="e">
        <f>#REF!</f>
        <v>#REF!</v>
      </c>
      <c r="W1385" s="175"/>
      <c r="X1385" s="175"/>
      <c r="Y1385" s="175"/>
      <c r="Z1385" s="175"/>
      <c r="AA1385" s="175"/>
    </row>
    <row r="1386" spans="1:27" s="657" customFormat="1" hidden="1">
      <c r="A1386" s="1778"/>
      <c r="B1386" s="342"/>
      <c r="C1386" s="495" t="s">
        <v>548</v>
      </c>
      <c r="D1386" s="564">
        <v>0</v>
      </c>
      <c r="E1386" s="497" t="s">
        <v>299</v>
      </c>
      <c r="F1386" s="498">
        <v>14.04</v>
      </c>
      <c r="G1386" s="564">
        <v>11</v>
      </c>
      <c r="H1386" s="497" t="s">
        <v>299</v>
      </c>
      <c r="I1386" s="498">
        <v>10</v>
      </c>
      <c r="J1386" s="434" t="s">
        <v>309</v>
      </c>
      <c r="K1386" s="434">
        <f t="shared" si="186"/>
        <v>215.96</v>
      </c>
      <c r="L1386" s="344"/>
      <c r="M1386" s="434">
        <v>0.1</v>
      </c>
      <c r="N1386" s="344"/>
      <c r="O1386" s="345"/>
      <c r="P1386" s="344"/>
      <c r="Q1386" s="434">
        <v>2</v>
      </c>
      <c r="R1386" s="346">
        <f>TRUNC(SUM(Q1386*K1386*M1386),3)</f>
        <v>43.192</v>
      </c>
      <c r="S1386" s="340" t="s">
        <v>151</v>
      </c>
      <c r="T1386" s="347">
        <v>8</v>
      </c>
      <c r="U1386" s="435" t="s">
        <v>363</v>
      </c>
      <c r="V1386" s="656" t="e">
        <f>#REF!</f>
        <v>#REF!</v>
      </c>
    </row>
    <row r="1387" spans="1:27" s="659" customFormat="1" hidden="1">
      <c r="A1387" s="1779"/>
      <c r="B1387" s="342"/>
      <c r="C1387" s="495" t="s">
        <v>548</v>
      </c>
      <c r="D1387" s="564">
        <v>0</v>
      </c>
      <c r="E1387" s="497" t="s">
        <v>299</v>
      </c>
      <c r="F1387" s="498">
        <v>14.04</v>
      </c>
      <c r="G1387" s="564">
        <v>11</v>
      </c>
      <c r="H1387" s="497" t="s">
        <v>299</v>
      </c>
      <c r="I1387" s="498">
        <v>10</v>
      </c>
      <c r="J1387" s="434" t="s">
        <v>300</v>
      </c>
      <c r="K1387" s="434">
        <f t="shared" si="186"/>
        <v>215.96</v>
      </c>
      <c r="L1387" s="344"/>
      <c r="M1387" s="434">
        <v>3.5</v>
      </c>
      <c r="N1387" s="434">
        <f>M1387*5</f>
        <v>17.5</v>
      </c>
      <c r="O1387" s="345"/>
      <c r="P1387" s="344"/>
      <c r="Q1387" s="434">
        <f>K1387/5</f>
        <v>43.192</v>
      </c>
      <c r="R1387" s="346">
        <f>TRUNC(N1387*Q1387+5,3)</f>
        <v>760.86</v>
      </c>
      <c r="S1387" s="340" t="s">
        <v>151</v>
      </c>
      <c r="T1387" s="347">
        <v>8</v>
      </c>
      <c r="U1387" s="435" t="s">
        <v>362</v>
      </c>
      <c r="V1387" s="658" t="e">
        <f>#REF!</f>
        <v>#REF!</v>
      </c>
    </row>
    <row r="1388" spans="1:27" s="176" customFormat="1" hidden="1">
      <c r="A1388" s="1110"/>
      <c r="B1388" s="296"/>
      <c r="C1388" s="809" t="s">
        <v>518</v>
      </c>
      <c r="D1388" s="496">
        <v>0</v>
      </c>
      <c r="E1388" s="606" t="s">
        <v>299</v>
      </c>
      <c r="F1388" s="498">
        <v>14.4</v>
      </c>
      <c r="G1388" s="496">
        <v>11</v>
      </c>
      <c r="H1388" s="606" t="s">
        <v>299</v>
      </c>
      <c r="I1388" s="498">
        <v>10</v>
      </c>
      <c r="J1388" s="434">
        <v>44</v>
      </c>
      <c r="K1388" s="434">
        <f t="shared" si="186"/>
        <v>215.6</v>
      </c>
      <c r="L1388" s="434">
        <v>5</v>
      </c>
      <c r="M1388" s="434">
        <v>3.5</v>
      </c>
      <c r="N1388" s="434">
        <f>M1388*L1388</f>
        <v>17.5</v>
      </c>
      <c r="O1388" s="340"/>
      <c r="P1388" s="461"/>
      <c r="Q1388" s="434">
        <f>K1388/5</f>
        <v>43.12</v>
      </c>
      <c r="R1388" s="346">
        <f>J1388*N1388</f>
        <v>770</v>
      </c>
      <c r="S1388" s="340" t="s">
        <v>151</v>
      </c>
      <c r="T1388" s="347">
        <v>12</v>
      </c>
      <c r="U1388" s="830" t="s">
        <v>493</v>
      </c>
    </row>
    <row r="1389" spans="1:27" s="176" customFormat="1" hidden="1">
      <c r="A1389" s="1110"/>
      <c r="B1389" s="296"/>
      <c r="C1389" s="809" t="s">
        <v>548</v>
      </c>
      <c r="D1389" s="496">
        <v>11</v>
      </c>
      <c r="E1389" s="606" t="s">
        <v>299</v>
      </c>
      <c r="F1389" s="498">
        <v>10</v>
      </c>
      <c r="G1389" s="496">
        <v>14</v>
      </c>
      <c r="H1389" s="606" t="s">
        <v>299</v>
      </c>
      <c r="I1389" s="498">
        <v>14</v>
      </c>
      <c r="J1389" s="434" t="s">
        <v>309</v>
      </c>
      <c r="K1389" s="434">
        <f t="shared" si="186"/>
        <v>64</v>
      </c>
      <c r="L1389" s="434"/>
      <c r="M1389" s="434">
        <v>3.5</v>
      </c>
      <c r="N1389" s="434"/>
      <c r="O1389" s="340"/>
      <c r="P1389" s="461"/>
      <c r="Q1389" s="434">
        <v>2</v>
      </c>
      <c r="R1389" s="346">
        <f>TRUNC(SUM(Q1389*K1389*M1389),3)</f>
        <v>448</v>
      </c>
      <c r="S1389" s="340" t="s">
        <v>151</v>
      </c>
      <c r="T1389" s="347">
        <v>13</v>
      </c>
      <c r="U1389" s="830" t="s">
        <v>493</v>
      </c>
    </row>
    <row r="1390" spans="1:27" s="176" customFormat="1" hidden="1">
      <c r="A1390" s="1110"/>
      <c r="B1390" s="296"/>
      <c r="C1390" s="809" t="s">
        <v>518</v>
      </c>
      <c r="D1390" s="496">
        <f>D1389</f>
        <v>11</v>
      </c>
      <c r="E1390" s="606" t="s">
        <v>299</v>
      </c>
      <c r="F1390" s="498">
        <f>F1389</f>
        <v>10</v>
      </c>
      <c r="G1390" s="496">
        <f>G1389</f>
        <v>14</v>
      </c>
      <c r="H1390" s="606" t="s">
        <v>299</v>
      </c>
      <c r="I1390" s="498">
        <f>I1389</f>
        <v>14</v>
      </c>
      <c r="J1390" s="434">
        <f>K1390/5</f>
        <v>12.8</v>
      </c>
      <c r="K1390" s="434">
        <f t="shared" si="186"/>
        <v>64</v>
      </c>
      <c r="L1390" s="434">
        <v>5</v>
      </c>
      <c r="M1390" s="434">
        <v>3.5</v>
      </c>
      <c r="N1390" s="434">
        <f>M1390*L1390</f>
        <v>17.5</v>
      </c>
      <c r="O1390" s="340"/>
      <c r="P1390" s="461"/>
      <c r="Q1390" s="434">
        <v>13</v>
      </c>
      <c r="R1390" s="346">
        <f>Q1390*N1390</f>
        <v>227.5</v>
      </c>
      <c r="S1390" s="340" t="s">
        <v>151</v>
      </c>
      <c r="T1390" s="347">
        <v>13</v>
      </c>
      <c r="U1390" s="830" t="s">
        <v>493</v>
      </c>
    </row>
    <row r="1391" spans="1:27" s="176" customFormat="1" hidden="1">
      <c r="A1391" s="1110"/>
      <c r="B1391" s="296"/>
      <c r="C1391" s="809" t="s">
        <v>548</v>
      </c>
      <c r="D1391" s="496">
        <f>G1390</f>
        <v>14</v>
      </c>
      <c r="E1391" s="606" t="s">
        <v>299</v>
      </c>
      <c r="F1391" s="498">
        <f>I1390</f>
        <v>14</v>
      </c>
      <c r="G1391" s="496">
        <v>19</v>
      </c>
      <c r="H1391" s="606" t="s">
        <v>299</v>
      </c>
      <c r="I1391" s="498">
        <v>2</v>
      </c>
      <c r="J1391" s="434" t="s">
        <v>309</v>
      </c>
      <c r="K1391" s="434">
        <f t="shared" si="186"/>
        <v>88</v>
      </c>
      <c r="L1391" s="434"/>
      <c r="M1391" s="434">
        <v>3.5</v>
      </c>
      <c r="N1391" s="434"/>
      <c r="O1391" s="340"/>
      <c r="P1391" s="461"/>
      <c r="Q1391" s="434">
        <v>2</v>
      </c>
      <c r="R1391" s="346">
        <f>TRUNC(SUM(Q1391*K1391*M1391),3)</f>
        <v>616</v>
      </c>
      <c r="S1391" s="340" t="s">
        <v>151</v>
      </c>
      <c r="T1391" s="347">
        <v>14</v>
      </c>
      <c r="U1391" s="830" t="s">
        <v>493</v>
      </c>
    </row>
    <row r="1392" spans="1:27" s="176" customFormat="1" hidden="1">
      <c r="A1392" s="1110"/>
      <c r="B1392" s="296"/>
      <c r="C1392" s="809" t="s">
        <v>518</v>
      </c>
      <c r="D1392" s="496">
        <v>14</v>
      </c>
      <c r="E1392" s="606" t="s">
        <v>299</v>
      </c>
      <c r="F1392" s="498">
        <v>14</v>
      </c>
      <c r="G1392" s="496">
        <v>19</v>
      </c>
      <c r="H1392" s="606" t="s">
        <v>299</v>
      </c>
      <c r="I1392" s="498">
        <v>2</v>
      </c>
      <c r="J1392" s="434">
        <f>K1392/5</f>
        <v>17.600000000000001</v>
      </c>
      <c r="K1392" s="434">
        <f t="shared" si="186"/>
        <v>88</v>
      </c>
      <c r="L1392" s="434">
        <v>5</v>
      </c>
      <c r="M1392" s="434">
        <v>3.5</v>
      </c>
      <c r="N1392" s="434">
        <f>M1392*L1392</f>
        <v>17.5</v>
      </c>
      <c r="O1392" s="340"/>
      <c r="P1392" s="461"/>
      <c r="Q1392" s="434">
        <v>18</v>
      </c>
      <c r="R1392" s="346">
        <f>Q1392*N1392</f>
        <v>315</v>
      </c>
      <c r="S1392" s="340" t="s">
        <v>151</v>
      </c>
      <c r="T1392" s="347">
        <v>14</v>
      </c>
      <c r="U1392" s="830" t="s">
        <v>593</v>
      </c>
    </row>
    <row r="1393" spans="1:27" s="176" customFormat="1" hidden="1">
      <c r="A1393" s="1110"/>
      <c r="B1393" s="296"/>
      <c r="C1393" s="809" t="s">
        <v>548</v>
      </c>
      <c r="D1393" s="496">
        <f>G1392</f>
        <v>19</v>
      </c>
      <c r="E1393" s="606" t="s">
        <v>299</v>
      </c>
      <c r="F1393" s="498">
        <f>I1392</f>
        <v>2</v>
      </c>
      <c r="G1393" s="496">
        <v>21</v>
      </c>
      <c r="H1393" s="606" t="s">
        <v>299</v>
      </c>
      <c r="I1393" s="498">
        <v>9</v>
      </c>
      <c r="J1393" s="434" t="s">
        <v>309</v>
      </c>
      <c r="K1393" s="434">
        <f t="shared" si="186"/>
        <v>47</v>
      </c>
      <c r="L1393" s="434"/>
      <c r="M1393" s="434">
        <v>3.5</v>
      </c>
      <c r="N1393" s="434"/>
      <c r="O1393" s="340"/>
      <c r="P1393" s="461"/>
      <c r="Q1393" s="434">
        <v>2</v>
      </c>
      <c r="R1393" s="346">
        <f>TRUNC(SUM(Q1393*K1393*M1393),3)</f>
        <v>329</v>
      </c>
      <c r="S1393" s="340" t="s">
        <v>151</v>
      </c>
      <c r="T1393" s="347">
        <v>15</v>
      </c>
      <c r="U1393" s="830" t="s">
        <v>493</v>
      </c>
    </row>
    <row r="1394" spans="1:27" s="176" customFormat="1" hidden="1">
      <c r="A1394" s="1110"/>
      <c r="B1394" s="296"/>
      <c r="C1394" s="809" t="s">
        <v>518</v>
      </c>
      <c r="D1394" s="496">
        <v>19</v>
      </c>
      <c r="E1394" s="606" t="s">
        <v>299</v>
      </c>
      <c r="F1394" s="498">
        <v>2</v>
      </c>
      <c r="G1394" s="496">
        <v>21</v>
      </c>
      <c r="H1394" s="606" t="s">
        <v>299</v>
      </c>
      <c r="I1394" s="498">
        <v>9</v>
      </c>
      <c r="J1394" s="434">
        <f>K1394/5</f>
        <v>9.4</v>
      </c>
      <c r="K1394" s="434">
        <f t="shared" si="186"/>
        <v>47</v>
      </c>
      <c r="L1394" s="434">
        <v>5</v>
      </c>
      <c r="M1394" s="434">
        <v>3.5</v>
      </c>
      <c r="N1394" s="434">
        <f>M1394*L1394</f>
        <v>17.5</v>
      </c>
      <c r="O1394" s="340"/>
      <c r="P1394" s="461"/>
      <c r="Q1394" s="434">
        <f>K1394/L1394</f>
        <v>9.4</v>
      </c>
      <c r="R1394" s="346">
        <f>Q1394*N1394</f>
        <v>164.5</v>
      </c>
      <c r="S1394" s="340" t="s">
        <v>151</v>
      </c>
      <c r="T1394" s="347">
        <v>15</v>
      </c>
      <c r="U1394" s="830" t="s">
        <v>593</v>
      </c>
    </row>
    <row r="1395" spans="1:27" s="176" customFormat="1" hidden="1">
      <c r="A1395" s="1110"/>
      <c r="B1395" s="296"/>
      <c r="C1395" s="809" t="s">
        <v>548</v>
      </c>
      <c r="D1395" s="496">
        <f>G1393</f>
        <v>21</v>
      </c>
      <c r="E1395" s="606" t="s">
        <v>299</v>
      </c>
      <c r="F1395" s="498">
        <f>I1393</f>
        <v>9</v>
      </c>
      <c r="G1395" s="496">
        <v>25</v>
      </c>
      <c r="H1395" s="606" t="s">
        <v>299</v>
      </c>
      <c r="I1395" s="498">
        <v>16</v>
      </c>
      <c r="J1395" s="434" t="s">
        <v>309</v>
      </c>
      <c r="K1395" s="434">
        <f t="shared" si="186"/>
        <v>87</v>
      </c>
      <c r="L1395" s="434"/>
      <c r="M1395" s="434">
        <v>3.5</v>
      </c>
      <c r="N1395" s="434"/>
      <c r="O1395" s="340"/>
      <c r="P1395" s="461"/>
      <c r="Q1395" s="434">
        <v>2</v>
      </c>
      <c r="R1395" s="346">
        <f>TRUNC(SUM(Q1395*K1395*M1395),3)</f>
        <v>609</v>
      </c>
      <c r="S1395" s="340" t="s">
        <v>151</v>
      </c>
      <c r="T1395" s="347">
        <v>16</v>
      </c>
      <c r="U1395" s="830" t="s">
        <v>493</v>
      </c>
    </row>
    <row r="1396" spans="1:27" s="176" customFormat="1" hidden="1">
      <c r="A1396" s="1110"/>
      <c r="B1396" s="296"/>
      <c r="C1396" s="809" t="s">
        <v>518</v>
      </c>
      <c r="D1396" s="496">
        <f>G1394</f>
        <v>21</v>
      </c>
      <c r="E1396" s="606" t="s">
        <v>299</v>
      </c>
      <c r="F1396" s="498">
        <f>I1394</f>
        <v>9</v>
      </c>
      <c r="G1396" s="496">
        <v>25</v>
      </c>
      <c r="H1396" s="606" t="s">
        <v>299</v>
      </c>
      <c r="I1396" s="498">
        <v>16</v>
      </c>
      <c r="J1396" s="434">
        <f>K1396/5</f>
        <v>17.399999999999999</v>
      </c>
      <c r="K1396" s="434">
        <f t="shared" si="186"/>
        <v>87</v>
      </c>
      <c r="L1396" s="434">
        <v>5</v>
      </c>
      <c r="M1396" s="434">
        <v>3.5</v>
      </c>
      <c r="N1396" s="434">
        <f>M1396*L1396</f>
        <v>17.5</v>
      </c>
      <c r="O1396" s="340"/>
      <c r="P1396" s="461"/>
      <c r="Q1396" s="434">
        <f>K1396/L1396</f>
        <v>17.399999999999999</v>
      </c>
      <c r="R1396" s="346">
        <f>Q1396*N1396</f>
        <v>304.5</v>
      </c>
      <c r="S1396" s="340" t="s">
        <v>151</v>
      </c>
      <c r="T1396" s="347">
        <v>16</v>
      </c>
      <c r="U1396" s="830" t="s">
        <v>593</v>
      </c>
    </row>
    <row r="1397" spans="1:27" s="176" customFormat="1" hidden="1">
      <c r="A1397" s="1109"/>
      <c r="B1397" s="610"/>
      <c r="C1397" s="1461"/>
      <c r="D1397" s="611"/>
      <c r="E1397" s="612"/>
      <c r="F1397" s="565"/>
      <c r="G1397" s="611"/>
      <c r="H1397" s="612"/>
      <c r="I1397" s="565"/>
      <c r="J1397" s="546"/>
      <c r="K1397" s="546"/>
      <c r="L1397" s="546"/>
      <c r="M1397" s="546"/>
      <c r="N1397" s="546"/>
      <c r="O1397" s="357"/>
      <c r="P1397" s="619"/>
      <c r="Q1397" s="546"/>
      <c r="R1397" s="356"/>
      <c r="S1397" s="357"/>
      <c r="T1397" s="355"/>
      <c r="U1397" s="1675" t="s">
        <v>941</v>
      </c>
    </row>
    <row r="1398" spans="1:27" s="176" customFormat="1" hidden="1">
      <c r="A1398" s="1110"/>
      <c r="B1398" s="610"/>
      <c r="C1398" s="1461"/>
      <c r="D1398" s="611"/>
      <c r="E1398" s="612"/>
      <c r="F1398" s="565"/>
      <c r="G1398" s="611"/>
      <c r="H1398" s="612"/>
      <c r="I1398" s="565"/>
      <c r="J1398" s="546"/>
      <c r="K1398" s="546"/>
      <c r="L1398" s="546"/>
      <c r="M1398" s="546"/>
      <c r="N1398" s="546"/>
      <c r="O1398" s="357"/>
      <c r="P1398" s="619"/>
      <c r="Q1398" s="546"/>
      <c r="R1398" s="356"/>
      <c r="S1398" s="357"/>
      <c r="T1398" s="355"/>
      <c r="U1398" s="1675"/>
    </row>
    <row r="1399" spans="1:27" s="40" customFormat="1" hidden="1">
      <c r="A1399" s="1106"/>
      <c r="B1399" s="645"/>
      <c r="C1399" s="1614"/>
      <c r="D1399" s="2548" t="s">
        <v>257</v>
      </c>
      <c r="E1399" s="2549"/>
      <c r="F1399" s="2549"/>
      <c r="G1399" s="2549"/>
      <c r="H1399" s="2549"/>
      <c r="I1399" s="2550"/>
      <c r="J1399" s="2490">
        <f>VLOOKUP(A1401,'11 - FINANCEIRA'!$A$16:$AE$156,30,FALSE)</f>
        <v>6381.2</v>
      </c>
      <c r="K1399" s="2491"/>
      <c r="L1399" s="590" t="str">
        <f>VLOOKUP(A1401,'11 - FINANCEIRA'!_xlnm.Print_Area,4,FALSE)</f>
        <v>m²</v>
      </c>
      <c r="M1399" s="2561" t="s">
        <v>258</v>
      </c>
      <c r="N1399" s="2562"/>
      <c r="O1399" s="2562"/>
      <c r="P1399" s="2562"/>
      <c r="Q1399" s="2563"/>
      <c r="R1399" s="375">
        <f>SUM(R1384:R1396)</f>
        <v>6056.08</v>
      </c>
      <c r="S1399" s="591" t="str">
        <f>L1399</f>
        <v>m²</v>
      </c>
      <c r="T1399" s="390"/>
      <c r="U1399" s="391"/>
      <c r="V1399" s="174">
        <f>V1400</f>
        <v>0</v>
      </c>
    </row>
    <row r="1400" spans="1:27" s="40" customFormat="1" hidden="1">
      <c r="A1400" s="1106"/>
      <c r="B1400" s="246"/>
      <c r="C1400" s="247"/>
      <c r="D1400" s="2521" t="s">
        <v>259</v>
      </c>
      <c r="E1400" s="2522"/>
      <c r="F1400" s="2522"/>
      <c r="G1400" s="2522"/>
      <c r="H1400" s="2522"/>
      <c r="I1400" s="2523"/>
      <c r="J1400" s="2515">
        <f>R1399/J1399</f>
        <v>0.9490503353601204</v>
      </c>
      <c r="K1400" s="2516"/>
      <c r="L1400" s="2554"/>
      <c r="M1400" s="2556" t="s">
        <v>260</v>
      </c>
      <c r="N1400" s="2557"/>
      <c r="O1400" s="2557"/>
      <c r="P1400" s="2557"/>
      <c r="Q1400" s="2558"/>
      <c r="R1400" s="248">
        <f>VLOOKUP(A1401,'11 - FINANCEIRA'!_xlnm.Print_Area,8,FALSE)</f>
        <v>6056.08</v>
      </c>
      <c r="S1400" s="249" t="str">
        <f>L1399</f>
        <v>m²</v>
      </c>
      <c r="T1400" s="244"/>
      <c r="U1400" s="245"/>
      <c r="V1400" s="174">
        <f>V1401</f>
        <v>0</v>
      </c>
    </row>
    <row r="1401" spans="1:27" s="40" customFormat="1" hidden="1">
      <c r="A1401" s="1106" t="s">
        <v>111</v>
      </c>
      <c r="B1401" s="246"/>
      <c r="C1401" s="240"/>
      <c r="D1401" s="2539"/>
      <c r="E1401" s="2540"/>
      <c r="F1401" s="2540"/>
      <c r="G1401" s="2540"/>
      <c r="H1401" s="2540"/>
      <c r="I1401" s="2541"/>
      <c r="J1401" s="2517"/>
      <c r="K1401" s="2518"/>
      <c r="L1401" s="2555"/>
      <c r="M1401" s="2556" t="s">
        <v>261</v>
      </c>
      <c r="N1401" s="2557"/>
      <c r="O1401" s="2557"/>
      <c r="P1401" s="2557"/>
      <c r="Q1401" s="2558"/>
      <c r="R1401" s="251">
        <f>R1399-R1400</f>
        <v>0</v>
      </c>
      <c r="S1401" s="252" t="str">
        <f>L1399</f>
        <v>m²</v>
      </c>
      <c r="T1401" s="244"/>
      <c r="U1401" s="245"/>
      <c r="V1401" s="174">
        <f>R1401</f>
        <v>0</v>
      </c>
    </row>
    <row r="1402" spans="1:27" s="40" customFormat="1" hidden="1">
      <c r="A1402" s="1106"/>
      <c r="B1402" s="295"/>
      <c r="C1402" s="254"/>
      <c r="D1402" s="255"/>
      <c r="E1402" s="256"/>
      <c r="F1402" s="255"/>
      <c r="G1402" s="255"/>
      <c r="H1402" s="255"/>
      <c r="I1402" s="255"/>
      <c r="J1402" s="257"/>
      <c r="K1402" s="258"/>
      <c r="L1402" s="259"/>
      <c r="M1402" s="260"/>
      <c r="N1402" s="260"/>
      <c r="O1402" s="260"/>
      <c r="P1402" s="260"/>
      <c r="Q1402" s="260"/>
      <c r="R1402" s="261"/>
      <c r="S1402" s="262"/>
      <c r="T1402" s="263"/>
      <c r="U1402" s="264"/>
      <c r="V1402" s="265" t="e">
        <f>SUM(V1382:V1401)</f>
        <v>#REF!</v>
      </c>
    </row>
    <row r="1403" spans="1:27" s="176" customFormat="1" hidden="1">
      <c r="A1403" s="1106"/>
      <c r="B1403" s="2463" t="str">
        <f>VLOOKUP(A1411,'11 - FINANCEIRA'!_xlnm.Print_Area,2,FALSE)</f>
        <v>3762-S160326</v>
      </c>
      <c r="C1403" s="2465" t="str">
        <f>VLOOKUP(A1411,'11 - FINANCEIRA'!_xlnm.Print_Area,3,FALSE)</f>
        <v>Barra chata em qualquer dimensão</v>
      </c>
      <c r="D1403" s="2472" t="s">
        <v>242</v>
      </c>
      <c r="E1403" s="2473"/>
      <c r="F1403" s="2473"/>
      <c r="G1403" s="2473"/>
      <c r="H1403" s="2473"/>
      <c r="I1403" s="2474"/>
      <c r="J1403" s="2467" t="s">
        <v>373</v>
      </c>
      <c r="K1403" s="2467" t="s">
        <v>244</v>
      </c>
      <c r="L1403" s="2467" t="s">
        <v>245</v>
      </c>
      <c r="M1403" s="2467" t="s">
        <v>246</v>
      </c>
      <c r="N1403" s="2467" t="s">
        <v>247</v>
      </c>
      <c r="O1403" s="2467" t="s">
        <v>659</v>
      </c>
      <c r="P1403" s="173" t="s">
        <v>618</v>
      </c>
      <c r="Q1403" s="2467" t="s">
        <v>250</v>
      </c>
      <c r="R1403" s="2579" t="s">
        <v>139</v>
      </c>
      <c r="S1403" s="2467" t="s">
        <v>251</v>
      </c>
      <c r="T1403" s="2467" t="s">
        <v>252</v>
      </c>
      <c r="U1403" s="2584" t="s">
        <v>253</v>
      </c>
      <c r="V1403" s="174">
        <f>V1404</f>
        <v>0</v>
      </c>
      <c r="W1403" s="175"/>
      <c r="X1403" s="175"/>
      <c r="Y1403" s="175"/>
      <c r="Z1403" s="175"/>
      <c r="AA1403" s="175"/>
    </row>
    <row r="1404" spans="1:27" s="176" customFormat="1" hidden="1">
      <c r="A1404" s="1106"/>
      <c r="B1404" s="2464"/>
      <c r="C1404" s="2466"/>
      <c r="D1404" s="2475" t="s">
        <v>254</v>
      </c>
      <c r="E1404" s="2476"/>
      <c r="F1404" s="2477"/>
      <c r="G1404" s="2469" t="s">
        <v>255</v>
      </c>
      <c r="H1404" s="2470"/>
      <c r="I1404" s="2471"/>
      <c r="J1404" s="2468"/>
      <c r="K1404" s="2468"/>
      <c r="L1404" s="2468"/>
      <c r="M1404" s="2468"/>
      <c r="N1404" s="2468"/>
      <c r="O1404" s="2468"/>
      <c r="P1404" s="177" t="s">
        <v>658</v>
      </c>
      <c r="Q1404" s="2468"/>
      <c r="R1404" s="2580"/>
      <c r="S1404" s="2468"/>
      <c r="T1404" s="2468"/>
      <c r="U1404" s="2585"/>
      <c r="V1404" s="174">
        <f t="shared" ref="V1404:V1410" si="187">V1405</f>
        <v>0</v>
      </c>
      <c r="W1404" s="175"/>
      <c r="X1404" s="175"/>
      <c r="Y1404" s="175"/>
      <c r="Z1404" s="175"/>
      <c r="AA1404" s="175"/>
    </row>
    <row r="1405" spans="1:27" s="176" customFormat="1" hidden="1">
      <c r="A1405" s="1110"/>
      <c r="B1405" s="609"/>
      <c r="C1405" s="337" t="s">
        <v>194</v>
      </c>
      <c r="D1405" s="878"/>
      <c r="E1405" s="444"/>
      <c r="F1405" s="879"/>
      <c r="G1405" s="880"/>
      <c r="H1405" s="447"/>
      <c r="I1405" s="881"/>
      <c r="J1405" s="411"/>
      <c r="K1405" s="411"/>
      <c r="L1405" s="411"/>
      <c r="M1405" s="411"/>
      <c r="N1405" s="411"/>
      <c r="O1405" s="411">
        <v>4</v>
      </c>
      <c r="P1405" s="449">
        <v>801</v>
      </c>
      <c r="Q1405" s="411"/>
      <c r="R1405" s="450">
        <f>P1405*O1405</f>
        <v>3204</v>
      </c>
      <c r="S1405" s="411" t="s">
        <v>195</v>
      </c>
      <c r="T1405" s="451">
        <v>16</v>
      </c>
      <c r="U1405" s="428" t="s">
        <v>709</v>
      </c>
      <c r="V1405" s="429">
        <f t="shared" si="187"/>
        <v>0</v>
      </c>
      <c r="W1405" s="175"/>
      <c r="X1405" s="175"/>
      <c r="Y1405" s="175"/>
      <c r="Z1405" s="175"/>
      <c r="AA1405" s="175"/>
    </row>
    <row r="1406" spans="1:27" s="176" customFormat="1" hidden="1">
      <c r="A1406" s="1110"/>
      <c r="B1406" s="296"/>
      <c r="C1406" s="339" t="s">
        <v>194</v>
      </c>
      <c r="D1406" s="560"/>
      <c r="E1406" s="464"/>
      <c r="F1406" s="463"/>
      <c r="G1406" s="458"/>
      <c r="H1406" s="459"/>
      <c r="I1406" s="460"/>
      <c r="J1406" s="340"/>
      <c r="K1406" s="340"/>
      <c r="L1406" s="340"/>
      <c r="M1406" s="340"/>
      <c r="N1406" s="340"/>
      <c r="O1406" s="340">
        <v>3</v>
      </c>
      <c r="P1406" s="461">
        <v>801</v>
      </c>
      <c r="Q1406" s="340"/>
      <c r="R1406" s="462">
        <f>P1406*O1406</f>
        <v>2403</v>
      </c>
      <c r="S1406" s="340" t="s">
        <v>195</v>
      </c>
      <c r="T1406" s="347">
        <v>17</v>
      </c>
      <c r="U1406" s="435" t="s">
        <v>710</v>
      </c>
      <c r="V1406" s="429">
        <f t="shared" si="187"/>
        <v>0</v>
      </c>
      <c r="W1406" s="175"/>
      <c r="X1406" s="175"/>
      <c r="Y1406" s="175"/>
      <c r="Z1406" s="175"/>
      <c r="AA1406" s="175"/>
    </row>
    <row r="1407" spans="1:27" s="176" customFormat="1" hidden="1">
      <c r="A1407" s="1110"/>
      <c r="B1407" s="296"/>
      <c r="C1407" s="339" t="s">
        <v>194</v>
      </c>
      <c r="D1407" s="560"/>
      <c r="E1407" s="464"/>
      <c r="F1407" s="463"/>
      <c r="G1407" s="458"/>
      <c r="H1407" s="459"/>
      <c r="I1407" s="460"/>
      <c r="J1407" s="340"/>
      <c r="K1407" s="340"/>
      <c r="L1407" s="340"/>
      <c r="M1407" s="340"/>
      <c r="N1407" s="340"/>
      <c r="O1407" s="340">
        <v>3</v>
      </c>
      <c r="P1407" s="461">
        <v>801</v>
      </c>
      <c r="Q1407" s="340"/>
      <c r="R1407" s="462">
        <f>P1407*O1407</f>
        <v>2403</v>
      </c>
      <c r="S1407" s="340" t="s">
        <v>195</v>
      </c>
      <c r="T1407" s="347">
        <v>18</v>
      </c>
      <c r="U1407" s="435" t="s">
        <v>708</v>
      </c>
      <c r="V1407" s="429">
        <f t="shared" si="187"/>
        <v>0</v>
      </c>
      <c r="W1407" s="175"/>
      <c r="X1407" s="175"/>
      <c r="Y1407" s="175"/>
      <c r="Z1407" s="175"/>
      <c r="AA1407" s="175"/>
    </row>
    <row r="1408" spans="1:27" s="222" customFormat="1" hidden="1">
      <c r="A1408" s="1106"/>
      <c r="B1408" s="223"/>
      <c r="C1408" s="224"/>
      <c r="D1408" s="225"/>
      <c r="E1408" s="226"/>
      <c r="F1408" s="227"/>
      <c r="G1408" s="225"/>
      <c r="H1408" s="226"/>
      <c r="I1408" s="227"/>
      <c r="J1408" s="228"/>
      <c r="K1408" s="229"/>
      <c r="L1408" s="230"/>
      <c r="M1408" s="231"/>
      <c r="N1408" s="232"/>
      <c r="O1408" s="233"/>
      <c r="P1408" s="230"/>
      <c r="Q1408" s="234"/>
      <c r="R1408" s="235"/>
      <c r="S1408" s="236"/>
      <c r="T1408" s="294"/>
      <c r="U1408" s="238"/>
      <c r="V1408" s="174">
        <f t="shared" si="187"/>
        <v>0</v>
      </c>
    </row>
    <row r="1409" spans="1:27" s="40" customFormat="1" hidden="1">
      <c r="A1409" s="1106"/>
      <c r="B1409" s="246"/>
      <c r="C1409" s="240"/>
      <c r="D1409" s="2527" t="s">
        <v>257</v>
      </c>
      <c r="E1409" s="2528"/>
      <c r="F1409" s="2528"/>
      <c r="G1409" s="2528"/>
      <c r="H1409" s="2528"/>
      <c r="I1409" s="2529"/>
      <c r="J1409" s="2488">
        <f>VLOOKUP(A1411,'11 - FINANCEIRA'!$A$16:$AE$156,30,FALSE)</f>
        <v>14418</v>
      </c>
      <c r="K1409" s="2489"/>
      <c r="L1409" s="309" t="str">
        <f>VLOOKUP(A1411,'11 - FINANCEIRA'!_xlnm.Print_Area,4,FALSE)</f>
        <v>kg</v>
      </c>
      <c r="M1409" s="2556" t="s">
        <v>258</v>
      </c>
      <c r="N1409" s="2557"/>
      <c r="O1409" s="2557"/>
      <c r="P1409" s="2557"/>
      <c r="Q1409" s="2558"/>
      <c r="R1409" s="248">
        <f>SUM(R1405:R1408)</f>
        <v>8010</v>
      </c>
      <c r="S1409" s="310" t="str">
        <f>L1409</f>
        <v>kg</v>
      </c>
      <c r="T1409" s="244"/>
      <c r="U1409" s="245"/>
      <c r="V1409" s="174">
        <f t="shared" si="187"/>
        <v>0</v>
      </c>
    </row>
    <row r="1410" spans="1:27" s="40" customFormat="1" hidden="1">
      <c r="A1410" s="1106"/>
      <c r="B1410" s="246"/>
      <c r="C1410" s="247"/>
      <c r="D1410" s="2521" t="s">
        <v>259</v>
      </c>
      <c r="E1410" s="2522"/>
      <c r="F1410" s="2522"/>
      <c r="G1410" s="2522"/>
      <c r="H1410" s="2522"/>
      <c r="I1410" s="2523"/>
      <c r="J1410" s="2515">
        <f>R1409/J1409</f>
        <v>0.55555555555555558</v>
      </c>
      <c r="K1410" s="2516"/>
      <c r="L1410" s="2554"/>
      <c r="M1410" s="2556" t="s">
        <v>260</v>
      </c>
      <c r="N1410" s="2557"/>
      <c r="O1410" s="2557"/>
      <c r="P1410" s="2557"/>
      <c r="Q1410" s="2558"/>
      <c r="R1410" s="248">
        <f>VLOOKUP(A1411,'11 - FINANCEIRA'!_xlnm.Print_Area,8,FALSE)</f>
        <v>8010</v>
      </c>
      <c r="S1410" s="249" t="str">
        <f>L1409</f>
        <v>kg</v>
      </c>
      <c r="T1410" s="244"/>
      <c r="U1410" s="245"/>
      <c r="V1410" s="174">
        <f t="shared" si="187"/>
        <v>0</v>
      </c>
    </row>
    <row r="1411" spans="1:27" s="40" customFormat="1" hidden="1">
      <c r="A1411" s="1106" t="s">
        <v>112</v>
      </c>
      <c r="B1411" s="246"/>
      <c r="C1411" s="240"/>
      <c r="D1411" s="2539"/>
      <c r="E1411" s="2540"/>
      <c r="F1411" s="2540"/>
      <c r="G1411" s="2540"/>
      <c r="H1411" s="2540"/>
      <c r="I1411" s="2541"/>
      <c r="J1411" s="2517"/>
      <c r="K1411" s="2518"/>
      <c r="L1411" s="2555"/>
      <c r="M1411" s="2556" t="s">
        <v>261</v>
      </c>
      <c r="N1411" s="2557"/>
      <c r="O1411" s="2557"/>
      <c r="P1411" s="2557"/>
      <c r="Q1411" s="2558"/>
      <c r="R1411" s="251">
        <f>R1409-R1410</f>
        <v>0</v>
      </c>
      <c r="S1411" s="252" t="str">
        <f>L1409</f>
        <v>kg</v>
      </c>
      <c r="T1411" s="244"/>
      <c r="U1411" s="245"/>
      <c r="V1411" s="174">
        <f>R1411</f>
        <v>0</v>
      </c>
    </row>
    <row r="1412" spans="1:27" s="40" customFormat="1" hidden="1">
      <c r="A1412" s="1106"/>
      <c r="B1412" s="311"/>
      <c r="C1412" s="312"/>
      <c r="D1412" s="313"/>
      <c r="E1412" s="314"/>
      <c r="F1412" s="313"/>
      <c r="G1412" s="313"/>
      <c r="H1412" s="313"/>
      <c r="I1412" s="313"/>
      <c r="J1412" s="315"/>
      <c r="K1412" s="316"/>
      <c r="L1412" s="317"/>
      <c r="M1412" s="318"/>
      <c r="N1412" s="318"/>
      <c r="O1412" s="318"/>
      <c r="P1412" s="318"/>
      <c r="Q1412" s="318"/>
      <c r="R1412" s="319"/>
      <c r="S1412" s="320"/>
      <c r="T1412" s="321"/>
      <c r="U1412" s="322"/>
      <c r="V1412" s="265">
        <f>SUM(V1403:V1411)</f>
        <v>0</v>
      </c>
    </row>
    <row r="1413" spans="1:27" customFormat="1" outlineLevel="1">
      <c r="A1413" s="1780" t="s">
        <v>482</v>
      </c>
      <c r="B1413" s="2285" t="s">
        <v>483</v>
      </c>
      <c r="C1413" s="2286" t="s">
        <v>484</v>
      </c>
      <c r="D1413" s="2286"/>
      <c r="E1413" s="2286"/>
      <c r="F1413" s="2286"/>
      <c r="G1413" s="2286"/>
      <c r="H1413" s="2286"/>
      <c r="I1413" s="2286"/>
      <c r="J1413" s="2286"/>
      <c r="K1413" s="2286"/>
      <c r="L1413" s="2286"/>
      <c r="M1413" s="2286"/>
      <c r="N1413" s="2286"/>
      <c r="O1413" s="2286"/>
      <c r="P1413" s="2286"/>
      <c r="Q1413" s="2286"/>
      <c r="R1413" s="2286"/>
      <c r="S1413" s="2286"/>
      <c r="T1413" s="2287"/>
      <c r="U1413" s="2288"/>
      <c r="V1413" s="721"/>
    </row>
    <row r="1414" spans="1:27" s="176" customFormat="1">
      <c r="A1414" s="1106"/>
      <c r="B1414" s="2463">
        <f>VLOOKUP(A1421,'11 - FINANCEIRA'!_xlnm.Print_Area,2,FALSE)</f>
        <v>42764</v>
      </c>
      <c r="C1414" s="2465" t="str">
        <f>VLOOKUP(A1421,'11 - FINANCEIRA'!_xlnm.Print_Area,3,FALSE)</f>
        <v>Corpo de BSTC D = 0,80 m CA2 - areia, brita e pedra de mão comerciais</v>
      </c>
      <c r="D1414" s="2472" t="s">
        <v>242</v>
      </c>
      <c r="E1414" s="2473"/>
      <c r="F1414" s="2473"/>
      <c r="G1414" s="2473"/>
      <c r="H1414" s="2473"/>
      <c r="I1414" s="2474"/>
      <c r="J1414" s="2467" t="s">
        <v>373</v>
      </c>
      <c r="K1414" s="2467" t="s">
        <v>244</v>
      </c>
      <c r="L1414" s="2467" t="s">
        <v>245</v>
      </c>
      <c r="M1414" s="2467" t="s">
        <v>246</v>
      </c>
      <c r="N1414" s="2467" t="s">
        <v>247</v>
      </c>
      <c r="O1414" s="2467" t="s">
        <v>248</v>
      </c>
      <c r="P1414" s="173" t="s">
        <v>249</v>
      </c>
      <c r="Q1414" s="2467" t="s">
        <v>250</v>
      </c>
      <c r="R1414" s="2579" t="s">
        <v>139</v>
      </c>
      <c r="S1414" s="2467" t="s">
        <v>251</v>
      </c>
      <c r="T1414" s="2467" t="s">
        <v>252</v>
      </c>
      <c r="U1414" s="2584" t="s">
        <v>253</v>
      </c>
      <c r="V1414" s="174">
        <f>V1415</f>
        <v>0</v>
      </c>
      <c r="W1414" s="175"/>
      <c r="X1414" s="175"/>
      <c r="Y1414" s="175"/>
      <c r="Z1414" s="175"/>
      <c r="AA1414" s="175"/>
    </row>
    <row r="1415" spans="1:27" s="176" customFormat="1">
      <c r="A1415" s="1106"/>
      <c r="B1415" s="2464" t="e">
        <f>LEFT(#REF!,5)</f>
        <v>#REF!</v>
      </c>
      <c r="C1415" s="2466" t="e">
        <f>VLOOKUP(LEFT(#REF!,5),'11 - FINANCEIRA'!_xlnm.Print_Area,2,FALSE)</f>
        <v>#REF!</v>
      </c>
      <c r="D1415" s="2475" t="s">
        <v>254</v>
      </c>
      <c r="E1415" s="2476"/>
      <c r="F1415" s="2477"/>
      <c r="G1415" s="2469" t="s">
        <v>255</v>
      </c>
      <c r="H1415" s="2470"/>
      <c r="I1415" s="2471"/>
      <c r="J1415" s="2468"/>
      <c r="K1415" s="2468"/>
      <c r="L1415" s="2468"/>
      <c r="M1415" s="2468"/>
      <c r="N1415" s="2468"/>
      <c r="O1415" s="2468"/>
      <c r="P1415" s="177" t="s">
        <v>256</v>
      </c>
      <c r="Q1415" s="2468"/>
      <c r="R1415" s="2580"/>
      <c r="S1415" s="2468"/>
      <c r="T1415" s="2468"/>
      <c r="U1415" s="2585"/>
      <c r="V1415" s="174">
        <f t="shared" ref="V1415:V1420" si="188">V1416</f>
        <v>0</v>
      </c>
      <c r="W1415" s="175"/>
      <c r="X1415" s="175"/>
      <c r="Y1415" s="175"/>
      <c r="Z1415" s="175"/>
      <c r="AA1415" s="175"/>
    </row>
    <row r="1416" spans="1:27" s="40" customFormat="1">
      <c r="A1416" s="1110"/>
      <c r="B1416" s="512"/>
      <c r="C1416" s="831" t="s">
        <v>502</v>
      </c>
      <c r="D1416" s="469">
        <v>2</v>
      </c>
      <c r="E1416" s="470" t="s">
        <v>299</v>
      </c>
      <c r="F1416" s="486">
        <v>15</v>
      </c>
      <c r="G1416" s="469">
        <v>3</v>
      </c>
      <c r="H1416" s="473" t="s">
        <v>299</v>
      </c>
      <c r="I1416" s="486">
        <v>0</v>
      </c>
      <c r="J1416" s="275"/>
      <c r="K1416" s="489">
        <v>5</v>
      </c>
      <c r="L1416" s="425"/>
      <c r="M1416" s="425"/>
      <c r="N1416" s="425"/>
      <c r="O1416" s="425"/>
      <c r="P1416" s="514"/>
      <c r="Q1416" s="425"/>
      <c r="R1416" s="489">
        <f>K1416</f>
        <v>5</v>
      </c>
      <c r="S1416" s="425" t="s">
        <v>144</v>
      </c>
      <c r="T1416" s="276">
        <v>12</v>
      </c>
      <c r="U1416" s="2289" t="s">
        <v>532</v>
      </c>
    </row>
    <row r="1417" spans="1:27" s="40" customFormat="1">
      <c r="A1417" s="1110"/>
      <c r="B1417" s="1001"/>
      <c r="C1417" s="766" t="s">
        <v>502</v>
      </c>
      <c r="D1417" s="436">
        <v>32</v>
      </c>
      <c r="E1417" s="864" t="s">
        <v>299</v>
      </c>
      <c r="F1417" s="865">
        <v>12</v>
      </c>
      <c r="G1417" s="436">
        <v>32</v>
      </c>
      <c r="H1417" s="807" t="s">
        <v>299</v>
      </c>
      <c r="I1417" s="865">
        <v>17</v>
      </c>
      <c r="J1417" s="438"/>
      <c r="K1417" s="553">
        <f>SUM(G1417*20+I1417)-(D1417*20+F1417)</f>
        <v>5</v>
      </c>
      <c r="L1417" s="868"/>
      <c r="M1417" s="868"/>
      <c r="N1417" s="868"/>
      <c r="O1417" s="868"/>
      <c r="P1417" s="890"/>
      <c r="Q1417" s="868"/>
      <c r="R1417" s="439">
        <f>K1417</f>
        <v>5</v>
      </c>
      <c r="S1417" s="868" t="s">
        <v>144</v>
      </c>
      <c r="T1417" s="441">
        <v>28</v>
      </c>
      <c r="U1417" s="2290" t="s">
        <v>1172</v>
      </c>
    </row>
    <row r="1418" spans="1:27" s="222" customFormat="1">
      <c r="A1418" s="1106"/>
      <c r="B1418" s="223"/>
      <c r="C1418" s="224"/>
      <c r="D1418" s="225"/>
      <c r="E1418" s="226"/>
      <c r="F1418" s="227"/>
      <c r="G1418" s="225"/>
      <c r="H1418" s="226"/>
      <c r="I1418" s="227"/>
      <c r="J1418" s="228"/>
      <c r="K1418" s="230"/>
      <c r="L1418" s="230"/>
      <c r="M1418" s="230"/>
      <c r="N1418" s="230"/>
      <c r="O1418" s="236"/>
      <c r="P1418" s="230"/>
      <c r="Q1418" s="236"/>
      <c r="R1418" s="235"/>
      <c r="S1418" s="236"/>
      <c r="T1418" s="294"/>
      <c r="U1418" s="238"/>
      <c r="V1418" s="174">
        <f t="shared" si="188"/>
        <v>5</v>
      </c>
    </row>
    <row r="1419" spans="1:27" s="40" customFormat="1">
      <c r="A1419" s="1106"/>
      <c r="B1419" s="1123"/>
      <c r="C1419" s="240"/>
      <c r="D1419" s="2527" t="s">
        <v>257</v>
      </c>
      <c r="E1419" s="2528"/>
      <c r="F1419" s="2528"/>
      <c r="G1419" s="2528"/>
      <c r="H1419" s="2528"/>
      <c r="I1419" s="2529"/>
      <c r="J1419" s="2488">
        <f>VLOOKUP(A1421,'11 - FINANCEIRA'!_xlnm.Print_Area,30,FALSE)</f>
        <v>24</v>
      </c>
      <c r="K1419" s="2489"/>
      <c r="L1419" s="309" t="str">
        <f>VLOOKUP(A1421,'11 - FINANCEIRA'!_xlnm.Print_Area,4,FALSE)</f>
        <v>m</v>
      </c>
      <c r="M1419" s="2556" t="s">
        <v>258</v>
      </c>
      <c r="N1419" s="2557"/>
      <c r="O1419" s="2557"/>
      <c r="P1419" s="2557"/>
      <c r="Q1419" s="2558"/>
      <c r="R1419" s="248">
        <f>SUM(R1416:R1418)</f>
        <v>10</v>
      </c>
      <c r="S1419" s="310" t="str">
        <f>L1419</f>
        <v>m</v>
      </c>
      <c r="T1419" s="244"/>
      <c r="U1419" s="1124"/>
      <c r="V1419" s="174">
        <f t="shared" si="188"/>
        <v>5</v>
      </c>
    </row>
    <row r="1420" spans="1:27" s="40" customFormat="1">
      <c r="A1420" s="1106"/>
      <c r="B1420" s="1123"/>
      <c r="C1420" s="2182"/>
      <c r="D1420" s="2521" t="s">
        <v>259</v>
      </c>
      <c r="E1420" s="2522"/>
      <c r="F1420" s="2522"/>
      <c r="G1420" s="2522"/>
      <c r="H1420" s="2522"/>
      <c r="I1420" s="2523"/>
      <c r="J1420" s="2515">
        <f>R1419/J1419</f>
        <v>0.41666666666666669</v>
      </c>
      <c r="K1420" s="2516"/>
      <c r="L1420" s="2554"/>
      <c r="M1420" s="2556" t="s">
        <v>260</v>
      </c>
      <c r="N1420" s="2557"/>
      <c r="O1420" s="2557"/>
      <c r="P1420" s="2557"/>
      <c r="Q1420" s="2558"/>
      <c r="R1420" s="248">
        <f>VLOOKUP(A1421,'11 - FINANCEIRA'!_xlnm.Print_Area,8,FALSE)</f>
        <v>5</v>
      </c>
      <c r="S1420" s="249" t="str">
        <f>L1419</f>
        <v>m</v>
      </c>
      <c r="T1420" s="244"/>
      <c r="U1420" s="1124"/>
      <c r="V1420" s="174">
        <f t="shared" si="188"/>
        <v>5</v>
      </c>
    </row>
    <row r="1421" spans="1:27" s="40" customFormat="1">
      <c r="A1421" s="1106" t="s">
        <v>429</v>
      </c>
      <c r="B1421" s="250"/>
      <c r="C1421" s="598"/>
      <c r="D1421" s="2539"/>
      <c r="E1421" s="2540"/>
      <c r="F1421" s="2540"/>
      <c r="G1421" s="2540"/>
      <c r="H1421" s="2540"/>
      <c r="I1421" s="2541"/>
      <c r="J1421" s="2517"/>
      <c r="K1421" s="2518"/>
      <c r="L1421" s="2555"/>
      <c r="M1421" s="2556" t="s">
        <v>261</v>
      </c>
      <c r="N1421" s="2557"/>
      <c r="O1421" s="2557"/>
      <c r="P1421" s="2557"/>
      <c r="Q1421" s="2558"/>
      <c r="R1421" s="248">
        <f>R1419-R1420</f>
        <v>5</v>
      </c>
      <c r="S1421" s="249" t="str">
        <f>L1419</f>
        <v>m</v>
      </c>
      <c r="T1421" s="562"/>
      <c r="U1421" s="563"/>
      <c r="V1421" s="174">
        <f>R1421</f>
        <v>5</v>
      </c>
    </row>
    <row r="1422" spans="1:27" s="164" customFormat="1" hidden="1">
      <c r="A1422" s="1770"/>
      <c r="B1422" s="660"/>
      <c r="D1422" s="661"/>
      <c r="E1422" s="662"/>
      <c r="F1422" s="663"/>
      <c r="G1422" s="661"/>
      <c r="I1422" s="663"/>
      <c r="K1422" s="664"/>
      <c r="L1422" s="664"/>
      <c r="N1422" s="511"/>
      <c r="O1422" s="662"/>
      <c r="Q1422" s="665"/>
      <c r="R1422" s="666"/>
      <c r="S1422" s="667"/>
      <c r="U1422" s="662"/>
      <c r="V1422" s="662"/>
    </row>
    <row r="1423" spans="1:27" s="176" customFormat="1" ht="31.5">
      <c r="A1423" s="1106"/>
      <c r="B1423" s="717">
        <f>VLOOKUP(A1439,'11 - FINANCEIRA'!_xlnm.Print_Area,2,FALSE)</f>
        <v>41264</v>
      </c>
      <c r="C1423" s="785" t="str">
        <f>VLOOKUP(A1439,'11 - FINANCEIRA'!_xlnm.Print_Area,3,FALSE)</f>
        <v xml:space="preserve">Rip Rap em saco de areia </v>
      </c>
      <c r="D1423" s="2472" t="s">
        <v>242</v>
      </c>
      <c r="E1423" s="2473"/>
      <c r="F1423" s="2473"/>
      <c r="G1423" s="2473"/>
      <c r="H1423" s="2473"/>
      <c r="I1423" s="2474"/>
      <c r="J1423" s="733" t="s">
        <v>373</v>
      </c>
      <c r="K1423" s="716" t="s">
        <v>244</v>
      </c>
      <c r="L1423" s="716" t="s">
        <v>245</v>
      </c>
      <c r="M1423" s="733" t="s">
        <v>246</v>
      </c>
      <c r="N1423" s="733" t="s">
        <v>247</v>
      </c>
      <c r="O1423" s="733" t="s">
        <v>248</v>
      </c>
      <c r="P1423" s="173" t="s">
        <v>249</v>
      </c>
      <c r="Q1423" s="716" t="s">
        <v>250</v>
      </c>
      <c r="R1423" s="734" t="s">
        <v>139</v>
      </c>
      <c r="S1423" s="733" t="s">
        <v>251</v>
      </c>
      <c r="T1423" s="733" t="s">
        <v>252</v>
      </c>
      <c r="U1423" s="735" t="s">
        <v>253</v>
      </c>
      <c r="V1423" s="174">
        <f>V1424</f>
        <v>0</v>
      </c>
      <c r="W1423" s="175"/>
      <c r="X1423" s="175"/>
      <c r="Y1423" s="175"/>
      <c r="Z1423" s="175"/>
      <c r="AA1423" s="175"/>
    </row>
    <row r="1424" spans="1:27" s="176" customFormat="1">
      <c r="A1424" s="1106"/>
      <c r="B1424" s="718"/>
      <c r="C1424" s="798"/>
      <c r="D1424" s="2475" t="s">
        <v>254</v>
      </c>
      <c r="E1424" s="2476"/>
      <c r="F1424" s="2477"/>
      <c r="G1424" s="2469" t="s">
        <v>255</v>
      </c>
      <c r="H1424" s="2470"/>
      <c r="I1424" s="2471"/>
      <c r="J1424" s="740"/>
      <c r="K1424" s="740"/>
      <c r="L1424" s="740"/>
      <c r="M1424" s="740"/>
      <c r="N1424" s="740"/>
      <c r="O1424" s="740"/>
      <c r="P1424" s="177" t="s">
        <v>256</v>
      </c>
      <c r="Q1424" s="740"/>
      <c r="R1424" s="741"/>
      <c r="S1424" s="740"/>
      <c r="T1424" s="740"/>
      <c r="U1424" s="742"/>
      <c r="V1424" s="174">
        <f>V1425</f>
        <v>0</v>
      </c>
      <c r="W1424" s="175"/>
      <c r="X1424" s="175"/>
      <c r="Y1424" s="175"/>
      <c r="Z1424" s="175"/>
      <c r="AA1424" s="175"/>
    </row>
    <row r="1425" spans="1:22" s="40" customFormat="1" ht="20.25">
      <c r="A1425" s="1110"/>
      <c r="B1425" s="336"/>
      <c r="C1425" s="831" t="s">
        <v>533</v>
      </c>
      <c r="D1425" s="485">
        <v>0</v>
      </c>
      <c r="E1425" s="470" t="s">
        <v>299</v>
      </c>
      <c r="F1425" s="486">
        <v>0</v>
      </c>
      <c r="G1425" s="485">
        <v>8</v>
      </c>
      <c r="H1425" s="473" t="s">
        <v>299</v>
      </c>
      <c r="I1425" s="486">
        <v>12</v>
      </c>
      <c r="J1425" s="275">
        <v>3</v>
      </c>
      <c r="K1425" s="275">
        <v>1</v>
      </c>
      <c r="L1425" s="836">
        <v>3</v>
      </c>
      <c r="M1425" s="836">
        <v>1</v>
      </c>
      <c r="N1425" s="275">
        <v>1</v>
      </c>
      <c r="O1425" s="275">
        <f>K1425*L1425*M1425</f>
        <v>3</v>
      </c>
      <c r="P1425" s="338"/>
      <c r="Q1425" s="275"/>
      <c r="R1425" s="191">
        <f>J1425*O1425</f>
        <v>9</v>
      </c>
      <c r="S1425" s="275" t="s">
        <v>476</v>
      </c>
      <c r="T1425" s="276">
        <v>12</v>
      </c>
      <c r="U1425" s="882"/>
    </row>
    <row r="1426" spans="1:22" s="40" customFormat="1" ht="20.25">
      <c r="A1426" s="1110"/>
      <c r="B1426" s="296"/>
      <c r="C1426" s="820" t="s">
        <v>534</v>
      </c>
      <c r="D1426" s="560">
        <v>0</v>
      </c>
      <c r="E1426" s="464" t="s">
        <v>299</v>
      </c>
      <c r="F1426" s="463">
        <v>0</v>
      </c>
      <c r="G1426" s="560">
        <v>11</v>
      </c>
      <c r="H1426" s="459" t="s">
        <v>299</v>
      </c>
      <c r="I1426" s="463">
        <v>10</v>
      </c>
      <c r="J1426" s="340">
        <v>5</v>
      </c>
      <c r="K1426" s="340">
        <v>1</v>
      </c>
      <c r="L1426" s="344">
        <v>3</v>
      </c>
      <c r="M1426" s="344">
        <v>1</v>
      </c>
      <c r="N1426" s="340">
        <v>1</v>
      </c>
      <c r="O1426" s="340">
        <f t="shared" ref="O1426:O1432" si="189">L1426*M1426*J1426</f>
        <v>15</v>
      </c>
      <c r="P1426" s="461"/>
      <c r="Q1426" s="340"/>
      <c r="R1426" s="462">
        <f>O1426</f>
        <v>15</v>
      </c>
      <c r="S1426" s="340" t="s">
        <v>476</v>
      </c>
      <c r="T1426" s="347">
        <v>12</v>
      </c>
      <c r="U1426" s="883"/>
    </row>
    <row r="1427" spans="1:22" s="40" customFormat="1" ht="20.25">
      <c r="A1427" s="1110"/>
      <c r="B1427" s="610"/>
      <c r="C1427" s="832" t="s">
        <v>534</v>
      </c>
      <c r="D1427" s="618">
        <v>11</v>
      </c>
      <c r="E1427" s="301" t="s">
        <v>299</v>
      </c>
      <c r="F1427" s="566">
        <v>10</v>
      </c>
      <c r="G1427" s="618">
        <v>19</v>
      </c>
      <c r="H1427" s="301" t="s">
        <v>299</v>
      </c>
      <c r="I1427" s="566">
        <v>2</v>
      </c>
      <c r="J1427" s="357">
        <v>3</v>
      </c>
      <c r="K1427" s="357">
        <v>1</v>
      </c>
      <c r="L1427" s="350">
        <v>3</v>
      </c>
      <c r="M1427" s="350">
        <v>1</v>
      </c>
      <c r="N1427" s="357">
        <v>1</v>
      </c>
      <c r="O1427" s="357">
        <f t="shared" si="189"/>
        <v>9</v>
      </c>
      <c r="P1427" s="619"/>
      <c r="Q1427" s="357"/>
      <c r="R1427" s="616">
        <f>O1427</f>
        <v>9</v>
      </c>
      <c r="S1427" s="357" t="s">
        <v>476</v>
      </c>
      <c r="T1427" s="355">
        <v>13</v>
      </c>
      <c r="U1427" s="920"/>
    </row>
    <row r="1428" spans="1:22" s="40" customFormat="1" ht="20.25">
      <c r="A1428" s="1110"/>
      <c r="B1428" s="296"/>
      <c r="C1428" s="820" t="s">
        <v>534</v>
      </c>
      <c r="D1428" s="560">
        <v>11</v>
      </c>
      <c r="E1428" s="459" t="s">
        <v>299</v>
      </c>
      <c r="F1428" s="463">
        <v>10</v>
      </c>
      <c r="G1428" s="560">
        <v>19</v>
      </c>
      <c r="H1428" s="459" t="s">
        <v>299</v>
      </c>
      <c r="I1428" s="463">
        <v>2</v>
      </c>
      <c r="J1428" s="340">
        <v>3</v>
      </c>
      <c r="K1428" s="340">
        <v>1</v>
      </c>
      <c r="L1428" s="344">
        <v>3</v>
      </c>
      <c r="M1428" s="344">
        <v>1</v>
      </c>
      <c r="N1428" s="340">
        <v>1</v>
      </c>
      <c r="O1428" s="340">
        <f t="shared" si="189"/>
        <v>9</v>
      </c>
      <c r="P1428" s="461"/>
      <c r="Q1428" s="340"/>
      <c r="R1428" s="462">
        <f>O1428</f>
        <v>9</v>
      </c>
      <c r="S1428" s="340" t="s">
        <v>476</v>
      </c>
      <c r="T1428" s="347">
        <v>13</v>
      </c>
      <c r="U1428" s="883"/>
    </row>
    <row r="1429" spans="1:22" s="40" customFormat="1">
      <c r="A1429" s="1110"/>
      <c r="B1429" s="296"/>
      <c r="C1429" s="820" t="s">
        <v>715</v>
      </c>
      <c r="D1429" s="560">
        <f>G1428</f>
        <v>19</v>
      </c>
      <c r="E1429" s="459" t="s">
        <v>299</v>
      </c>
      <c r="F1429" s="463">
        <f>I1428</f>
        <v>2</v>
      </c>
      <c r="G1429" s="560">
        <v>25</v>
      </c>
      <c r="H1429" s="459" t="s">
        <v>299</v>
      </c>
      <c r="I1429" s="463">
        <v>16</v>
      </c>
      <c r="J1429" s="340">
        <v>5</v>
      </c>
      <c r="K1429" s="340">
        <v>1</v>
      </c>
      <c r="L1429" s="344">
        <v>3</v>
      </c>
      <c r="M1429" s="344">
        <v>1</v>
      </c>
      <c r="N1429" s="340">
        <v>1</v>
      </c>
      <c r="O1429" s="340">
        <f t="shared" si="189"/>
        <v>15</v>
      </c>
      <c r="P1429" s="461"/>
      <c r="Q1429" s="340"/>
      <c r="R1429" s="462">
        <v>0</v>
      </c>
      <c r="S1429" s="340" t="s">
        <v>476</v>
      </c>
      <c r="T1429" s="347">
        <v>18</v>
      </c>
      <c r="U1429" s="1584" t="s">
        <v>716</v>
      </c>
    </row>
    <row r="1430" spans="1:22" s="40" customFormat="1" ht="20.25">
      <c r="A1430" s="1110"/>
      <c r="B1430" s="296"/>
      <c r="C1430" s="820" t="s">
        <v>715</v>
      </c>
      <c r="D1430" s="560">
        <v>7</v>
      </c>
      <c r="E1430" s="459" t="s">
        <v>299</v>
      </c>
      <c r="F1430" s="463">
        <v>4</v>
      </c>
      <c r="G1430" s="560">
        <v>8</v>
      </c>
      <c r="H1430" s="459" t="s">
        <v>299</v>
      </c>
      <c r="I1430" s="463">
        <v>13</v>
      </c>
      <c r="J1430" s="340">
        <v>1</v>
      </c>
      <c r="K1430" s="340">
        <v>1</v>
      </c>
      <c r="L1430" s="344">
        <v>3</v>
      </c>
      <c r="M1430" s="344">
        <v>1</v>
      </c>
      <c r="N1430" s="340">
        <v>1</v>
      </c>
      <c r="O1430" s="340">
        <f t="shared" si="189"/>
        <v>3</v>
      </c>
      <c r="P1430" s="461"/>
      <c r="Q1430" s="340"/>
      <c r="R1430" s="462">
        <v>3</v>
      </c>
      <c r="S1430" s="340" t="s">
        <v>476</v>
      </c>
      <c r="T1430" s="347">
        <v>18</v>
      </c>
      <c r="U1430" s="1585"/>
    </row>
    <row r="1431" spans="1:22" s="40" customFormat="1">
      <c r="A1431" s="1110"/>
      <c r="B1431" s="296"/>
      <c r="C1431" s="820" t="s">
        <v>715</v>
      </c>
      <c r="D1431" s="538">
        <v>10</v>
      </c>
      <c r="E1431" s="456" t="s">
        <v>299</v>
      </c>
      <c r="F1431" s="534">
        <v>10</v>
      </c>
      <c r="G1431" s="538">
        <v>10</v>
      </c>
      <c r="H1431" s="456" t="s">
        <v>299</v>
      </c>
      <c r="I1431" s="534">
        <v>10</v>
      </c>
      <c r="J1431" s="340">
        <v>1</v>
      </c>
      <c r="K1431" s="340">
        <v>1</v>
      </c>
      <c r="L1431" s="344">
        <v>3</v>
      </c>
      <c r="M1431" s="344">
        <v>1</v>
      </c>
      <c r="N1431" s="340">
        <v>1</v>
      </c>
      <c r="O1431" s="340">
        <f t="shared" si="189"/>
        <v>3</v>
      </c>
      <c r="P1431" s="461"/>
      <c r="Q1431" s="340"/>
      <c r="R1431" s="462">
        <v>3</v>
      </c>
      <c r="S1431" s="340" t="s">
        <v>476</v>
      </c>
      <c r="T1431" s="347">
        <v>21</v>
      </c>
      <c r="U1431" s="1584" t="s">
        <v>716</v>
      </c>
    </row>
    <row r="1432" spans="1:22" s="40" customFormat="1" ht="20.25">
      <c r="A1432" s="1110"/>
      <c r="B1432" s="296"/>
      <c r="C1432" s="820" t="s">
        <v>715</v>
      </c>
      <c r="D1432" s="538">
        <v>11</v>
      </c>
      <c r="E1432" s="456" t="s">
        <v>299</v>
      </c>
      <c r="F1432" s="534">
        <v>10</v>
      </c>
      <c r="G1432" s="538">
        <v>11</v>
      </c>
      <c r="H1432" s="456" t="s">
        <v>299</v>
      </c>
      <c r="I1432" s="534">
        <v>11</v>
      </c>
      <c r="J1432" s="340">
        <v>1</v>
      </c>
      <c r="K1432" s="340">
        <v>1</v>
      </c>
      <c r="L1432" s="344">
        <v>3</v>
      </c>
      <c r="M1432" s="344">
        <v>1</v>
      </c>
      <c r="N1432" s="340">
        <v>1</v>
      </c>
      <c r="O1432" s="340">
        <f t="shared" si="189"/>
        <v>3</v>
      </c>
      <c r="P1432" s="461"/>
      <c r="Q1432" s="340"/>
      <c r="R1432" s="462">
        <v>3</v>
      </c>
      <c r="S1432" s="340" t="s">
        <v>476</v>
      </c>
      <c r="T1432" s="347">
        <v>21</v>
      </c>
      <c r="U1432" s="883"/>
    </row>
    <row r="1433" spans="1:22" s="39" customFormat="1">
      <c r="A1433" s="1771"/>
      <c r="B1433" s="767"/>
      <c r="C1433" s="766" t="s">
        <v>715</v>
      </c>
      <c r="D1433" s="895">
        <v>31</v>
      </c>
      <c r="E1433" s="888" t="s">
        <v>299</v>
      </c>
      <c r="F1433" s="896">
        <v>12</v>
      </c>
      <c r="G1433" s="895"/>
      <c r="H1433" s="888"/>
      <c r="I1433" s="896"/>
      <c r="J1433" s="438">
        <v>1</v>
      </c>
      <c r="K1433" s="438">
        <v>1</v>
      </c>
      <c r="L1433" s="440">
        <v>3</v>
      </c>
      <c r="M1433" s="440">
        <v>1</v>
      </c>
      <c r="N1433" s="438">
        <v>1</v>
      </c>
      <c r="O1433" s="438">
        <f t="shared" ref="O1433" si="190">L1433*M1433*J1433</f>
        <v>3</v>
      </c>
      <c r="P1433" s="453"/>
      <c r="Q1433" s="438"/>
      <c r="R1433" s="454">
        <v>3</v>
      </c>
      <c r="S1433" s="438" t="s">
        <v>476</v>
      </c>
      <c r="T1433" s="441">
        <v>28</v>
      </c>
      <c r="U1433" s="1510" t="s">
        <v>1179</v>
      </c>
    </row>
    <row r="1434" spans="1:22" s="39" customFormat="1">
      <c r="A1434" s="1771"/>
      <c r="B1434" s="767"/>
      <c r="C1434" s="766" t="s">
        <v>715</v>
      </c>
      <c r="D1434" s="895">
        <v>33</v>
      </c>
      <c r="E1434" s="888" t="s">
        <v>299</v>
      </c>
      <c r="F1434" s="896">
        <v>14.8</v>
      </c>
      <c r="G1434" s="895"/>
      <c r="H1434" s="888"/>
      <c r="I1434" s="896"/>
      <c r="J1434" s="438">
        <v>1</v>
      </c>
      <c r="K1434" s="438">
        <v>1</v>
      </c>
      <c r="L1434" s="440">
        <v>3</v>
      </c>
      <c r="M1434" s="440">
        <v>1</v>
      </c>
      <c r="N1434" s="438">
        <v>1</v>
      </c>
      <c r="O1434" s="438">
        <f t="shared" ref="O1434:O1435" si="191">L1434*M1434*J1434</f>
        <v>3</v>
      </c>
      <c r="P1434" s="453"/>
      <c r="Q1434" s="438"/>
      <c r="R1434" s="454">
        <v>3</v>
      </c>
      <c r="S1434" s="438" t="s">
        <v>476</v>
      </c>
      <c r="T1434" s="441">
        <v>28</v>
      </c>
      <c r="U1434" s="1510" t="s">
        <v>1180</v>
      </c>
    </row>
    <row r="1435" spans="1:22" s="39" customFormat="1">
      <c r="A1435" s="1771"/>
      <c r="B1435" s="767"/>
      <c r="C1435" s="766" t="s">
        <v>715</v>
      </c>
      <c r="D1435" s="895">
        <v>34</v>
      </c>
      <c r="E1435" s="888" t="s">
        <v>299</v>
      </c>
      <c r="F1435" s="896">
        <v>10.5</v>
      </c>
      <c r="G1435" s="895"/>
      <c r="H1435" s="888"/>
      <c r="I1435" s="896"/>
      <c r="J1435" s="438">
        <v>1</v>
      </c>
      <c r="K1435" s="438">
        <v>1</v>
      </c>
      <c r="L1435" s="440">
        <v>3</v>
      </c>
      <c r="M1435" s="440">
        <v>1</v>
      </c>
      <c r="N1435" s="438">
        <v>1</v>
      </c>
      <c r="O1435" s="438">
        <f t="shared" si="191"/>
        <v>3</v>
      </c>
      <c r="P1435" s="453"/>
      <c r="Q1435" s="438"/>
      <c r="R1435" s="454">
        <v>3</v>
      </c>
      <c r="S1435" s="438" t="s">
        <v>476</v>
      </c>
      <c r="T1435" s="441">
        <v>28</v>
      </c>
      <c r="U1435" s="1510" t="s">
        <v>1181</v>
      </c>
    </row>
    <row r="1436" spans="1:22" s="39" customFormat="1">
      <c r="A1436" s="1771"/>
      <c r="B1436" s="1515"/>
      <c r="C1436" s="1457" t="s">
        <v>715</v>
      </c>
      <c r="D1436" s="1591">
        <v>36</v>
      </c>
      <c r="E1436" s="1676" t="s">
        <v>299</v>
      </c>
      <c r="F1436" s="1593">
        <v>3.5</v>
      </c>
      <c r="G1436" s="1591"/>
      <c r="H1436" s="1676"/>
      <c r="I1436" s="1593"/>
      <c r="J1436" s="760">
        <v>1</v>
      </c>
      <c r="K1436" s="760">
        <v>1</v>
      </c>
      <c r="L1436" s="1245">
        <v>3</v>
      </c>
      <c r="M1436" s="1245">
        <v>1</v>
      </c>
      <c r="N1436" s="760">
        <v>1</v>
      </c>
      <c r="O1436" s="760">
        <f t="shared" ref="O1436" si="192">L1436*M1436*J1436</f>
        <v>3</v>
      </c>
      <c r="P1436" s="873"/>
      <c r="Q1436" s="760"/>
      <c r="R1436" s="962">
        <v>3</v>
      </c>
      <c r="S1436" s="760" t="s">
        <v>476</v>
      </c>
      <c r="T1436" s="874">
        <v>28</v>
      </c>
      <c r="U1436" s="1677" t="s">
        <v>1182</v>
      </c>
    </row>
    <row r="1437" spans="1:22" s="40" customFormat="1">
      <c r="A1437" s="1106"/>
      <c r="B1437" s="239"/>
      <c r="C1437" s="1603"/>
      <c r="D1437" s="2730" t="s">
        <v>257</v>
      </c>
      <c r="E1437" s="2731"/>
      <c r="F1437" s="2731"/>
      <c r="G1437" s="2731"/>
      <c r="H1437" s="2731"/>
      <c r="I1437" s="2732"/>
      <c r="J1437" s="2490">
        <f>VLOOKUP(A1439,'11 - FINANCEIRA'!_xlnm.Print_Area,30,FALSE)</f>
        <v>81</v>
      </c>
      <c r="K1437" s="2491"/>
      <c r="L1437" s="309" t="str">
        <f>VLOOKUP(A1439,'11 - FINANCEIRA'!_xlnm.Print_Area,4,FALSE)</f>
        <v>M³</v>
      </c>
      <c r="M1437" s="2727" t="s">
        <v>258</v>
      </c>
      <c r="N1437" s="2728"/>
      <c r="O1437" s="2728"/>
      <c r="P1437" s="2728"/>
      <c r="Q1437" s="2729"/>
      <c r="R1437" s="248">
        <f>SUM(R1425:R1436)</f>
        <v>63</v>
      </c>
      <c r="S1437" s="310" t="str">
        <f>L1437</f>
        <v>M³</v>
      </c>
      <c r="T1437" s="321"/>
      <c r="U1437" s="322"/>
      <c r="V1437" s="174">
        <f>V1438</f>
        <v>12</v>
      </c>
    </row>
    <row r="1438" spans="1:22" s="40" customFormat="1">
      <c r="A1438" s="1106"/>
      <c r="B1438" s="1123"/>
      <c r="C1438" s="2182"/>
      <c r="D1438" s="2478" t="s">
        <v>259</v>
      </c>
      <c r="E1438" s="2479"/>
      <c r="F1438" s="2479"/>
      <c r="G1438" s="2479"/>
      <c r="H1438" s="2479"/>
      <c r="I1438" s="2480"/>
      <c r="J1438" s="2484">
        <f>R1437/J1437</f>
        <v>0.77777777777777779</v>
      </c>
      <c r="K1438" s="2485"/>
      <c r="L1438" s="743"/>
      <c r="M1438" s="2727" t="s">
        <v>260</v>
      </c>
      <c r="N1438" s="2728"/>
      <c r="O1438" s="2728"/>
      <c r="P1438" s="2728"/>
      <c r="Q1438" s="2729"/>
      <c r="R1438" s="248">
        <f>VLOOKUP(A1439,'11 - FINANCEIRA'!_xlnm.Print_Area,8,FALSE)</f>
        <v>51</v>
      </c>
      <c r="S1438" s="249" t="str">
        <f>L1437</f>
        <v>M³</v>
      </c>
      <c r="T1438" s="244"/>
      <c r="U1438" s="1124"/>
      <c r="V1438" s="174">
        <f>V1439</f>
        <v>12</v>
      </c>
    </row>
    <row r="1439" spans="1:22" s="40" customFormat="1">
      <c r="A1439" s="1106" t="s">
        <v>430</v>
      </c>
      <c r="B1439" s="250"/>
      <c r="C1439" s="598"/>
      <c r="D1439" s="2481"/>
      <c r="E1439" s="2482"/>
      <c r="F1439" s="2482"/>
      <c r="G1439" s="2482"/>
      <c r="H1439" s="2482"/>
      <c r="I1439" s="2483"/>
      <c r="J1439" s="2486"/>
      <c r="K1439" s="2487"/>
      <c r="L1439" s="751"/>
      <c r="M1439" s="2727" t="s">
        <v>261</v>
      </c>
      <c r="N1439" s="2728"/>
      <c r="O1439" s="2728"/>
      <c r="P1439" s="2728"/>
      <c r="Q1439" s="2729"/>
      <c r="R1439" s="248">
        <f>R1437-R1438</f>
        <v>12</v>
      </c>
      <c r="S1439" s="249" t="str">
        <f>L1437</f>
        <v>M³</v>
      </c>
      <c r="T1439" s="562"/>
      <c r="U1439" s="563"/>
      <c r="V1439" s="174">
        <f>R1439</f>
        <v>12</v>
      </c>
    </row>
    <row r="1440" spans="1:22" s="164" customFormat="1" hidden="1">
      <c r="A1440" s="1770"/>
      <c r="B1440" s="660"/>
      <c r="D1440" s="661"/>
      <c r="E1440" s="662"/>
      <c r="F1440" s="663"/>
      <c r="G1440" s="661"/>
      <c r="I1440" s="663"/>
      <c r="K1440" s="664"/>
      <c r="L1440" s="664"/>
      <c r="N1440" s="511"/>
      <c r="O1440" s="662"/>
      <c r="Q1440" s="665"/>
      <c r="R1440" s="666"/>
      <c r="S1440" s="667"/>
      <c r="U1440" s="662"/>
      <c r="V1440" s="662"/>
    </row>
    <row r="1441" spans="1:22" s="164" customFormat="1" ht="31.5">
      <c r="A1441" s="1106"/>
      <c r="B1441" s="717">
        <f>VLOOKUP(A1465,'11 - FINANCEIRA'!_xlnm.Print_Area,2,FALSE)</f>
        <v>50501</v>
      </c>
      <c r="C1441" s="785" t="str">
        <f>VLOOKUP(A1465,'11 - FINANCEIRA'!_xlnm.Print_Area,3,FALSE)</f>
        <v>Paredes de Contenção tipo Diafragma em bloco de 14</v>
      </c>
      <c r="D1441" s="2472" t="s">
        <v>242</v>
      </c>
      <c r="E1441" s="2473"/>
      <c r="F1441" s="2473"/>
      <c r="G1441" s="2473"/>
      <c r="H1441" s="2473"/>
      <c r="I1441" s="2474"/>
      <c r="J1441" s="733" t="s">
        <v>373</v>
      </c>
      <c r="K1441" s="716" t="s">
        <v>244</v>
      </c>
      <c r="L1441" s="716" t="s">
        <v>245</v>
      </c>
      <c r="M1441" s="733" t="s">
        <v>246</v>
      </c>
      <c r="N1441" s="733" t="s">
        <v>247</v>
      </c>
      <c r="O1441" s="2467" t="s">
        <v>1095</v>
      </c>
      <c r="P1441" s="1502"/>
      <c r="Q1441" s="716" t="s">
        <v>250</v>
      </c>
      <c r="R1441" s="734" t="s">
        <v>139</v>
      </c>
      <c r="S1441" s="733" t="s">
        <v>251</v>
      </c>
      <c r="T1441" s="733" t="s">
        <v>252</v>
      </c>
      <c r="U1441" s="735" t="s">
        <v>253</v>
      </c>
      <c r="V1441" s="662"/>
    </row>
    <row r="1442" spans="1:22" s="164" customFormat="1">
      <c r="A1442" s="1106"/>
      <c r="B1442" s="718"/>
      <c r="C1442" s="798"/>
      <c r="D1442" s="2475" t="s">
        <v>254</v>
      </c>
      <c r="E1442" s="2476"/>
      <c r="F1442" s="2477"/>
      <c r="G1442" s="2469" t="s">
        <v>255</v>
      </c>
      <c r="H1442" s="2470"/>
      <c r="I1442" s="2471"/>
      <c r="J1442" s="740"/>
      <c r="K1442" s="740"/>
      <c r="L1442" s="740"/>
      <c r="M1442" s="740"/>
      <c r="N1442" s="740"/>
      <c r="O1442" s="2468"/>
      <c r="P1442" s="740"/>
      <c r="Q1442" s="740"/>
      <c r="R1442" s="741"/>
      <c r="S1442" s="740"/>
      <c r="T1442" s="740"/>
      <c r="U1442" s="742"/>
      <c r="V1442" s="662"/>
    </row>
    <row r="1443" spans="1:22" s="40" customFormat="1" ht="30">
      <c r="A1443" s="1110"/>
      <c r="B1443" s="336"/>
      <c r="C1443" s="831" t="s">
        <v>535</v>
      </c>
      <c r="D1443" s="485">
        <v>0</v>
      </c>
      <c r="E1443" s="470" t="s">
        <v>299</v>
      </c>
      <c r="F1443" s="486">
        <v>0</v>
      </c>
      <c r="G1443" s="485">
        <v>8</v>
      </c>
      <c r="H1443" s="473" t="s">
        <v>299</v>
      </c>
      <c r="I1443" s="486">
        <v>12</v>
      </c>
      <c r="J1443" s="275">
        <v>6</v>
      </c>
      <c r="K1443" s="275"/>
      <c r="L1443" s="275">
        <v>3</v>
      </c>
      <c r="M1443" s="275">
        <v>1.9</v>
      </c>
      <c r="N1443" s="275">
        <f t="shared" ref="N1443:N1448" si="193">M1443*L1443</f>
        <v>5.6999999999999993</v>
      </c>
      <c r="O1443" s="275">
        <f t="shared" ref="O1443:O1448" si="194">N1443*J1443</f>
        <v>34.199999999999996</v>
      </c>
      <c r="P1443" s="509">
        <v>11.6</v>
      </c>
      <c r="Q1443" s="275"/>
      <c r="R1443" s="191">
        <f>O1443</f>
        <v>34.199999999999996</v>
      </c>
      <c r="S1443" s="275" t="s">
        <v>476</v>
      </c>
      <c r="T1443" s="276">
        <v>12</v>
      </c>
      <c r="U1443" s="882"/>
    </row>
    <row r="1444" spans="1:22" s="40" customFormat="1" ht="30">
      <c r="A1444" s="1110"/>
      <c r="B1444" s="296"/>
      <c r="C1444" s="820" t="s">
        <v>536</v>
      </c>
      <c r="D1444" s="560">
        <v>0</v>
      </c>
      <c r="E1444" s="464" t="s">
        <v>299</v>
      </c>
      <c r="F1444" s="463">
        <v>14.04</v>
      </c>
      <c r="G1444" s="560">
        <v>11</v>
      </c>
      <c r="H1444" s="459" t="s">
        <v>299</v>
      </c>
      <c r="I1444" s="463">
        <v>10</v>
      </c>
      <c r="J1444" s="340">
        <v>6</v>
      </c>
      <c r="K1444" s="340"/>
      <c r="L1444" s="340">
        <v>3</v>
      </c>
      <c r="M1444" s="340">
        <v>1.8</v>
      </c>
      <c r="N1444" s="340">
        <f t="shared" si="193"/>
        <v>5.4</v>
      </c>
      <c r="O1444" s="340">
        <f t="shared" si="194"/>
        <v>32.400000000000006</v>
      </c>
      <c r="P1444" s="509">
        <v>11.6</v>
      </c>
      <c r="Q1444" s="340"/>
      <c r="R1444" s="462">
        <f t="shared" ref="R1444:R1449" si="195">N1444*J1444</f>
        <v>32.400000000000006</v>
      </c>
      <c r="S1444" s="340" t="s">
        <v>476</v>
      </c>
      <c r="T1444" s="347">
        <v>12</v>
      </c>
      <c r="U1444" s="883"/>
    </row>
    <row r="1445" spans="1:22" s="40" customFormat="1" ht="30">
      <c r="A1445" s="1110"/>
      <c r="B1445" s="296"/>
      <c r="C1445" s="820" t="s">
        <v>536</v>
      </c>
      <c r="D1445" s="560">
        <v>11</v>
      </c>
      <c r="E1445" s="459" t="s">
        <v>299</v>
      </c>
      <c r="F1445" s="463">
        <v>10</v>
      </c>
      <c r="G1445" s="560">
        <v>19</v>
      </c>
      <c r="H1445" s="459" t="s">
        <v>299</v>
      </c>
      <c r="I1445" s="463">
        <v>2</v>
      </c>
      <c r="J1445" s="340">
        <v>3</v>
      </c>
      <c r="K1445" s="340"/>
      <c r="L1445" s="340">
        <v>3</v>
      </c>
      <c r="M1445" s="340">
        <v>1.8</v>
      </c>
      <c r="N1445" s="340">
        <f t="shared" si="193"/>
        <v>5.4</v>
      </c>
      <c r="O1445" s="340">
        <f t="shared" si="194"/>
        <v>16.200000000000003</v>
      </c>
      <c r="P1445" s="509">
        <v>5.34</v>
      </c>
      <c r="Q1445" s="340"/>
      <c r="R1445" s="462">
        <f t="shared" si="195"/>
        <v>16.200000000000003</v>
      </c>
      <c r="S1445" s="340" t="s">
        <v>476</v>
      </c>
      <c r="T1445" s="347">
        <v>12</v>
      </c>
      <c r="U1445" s="883"/>
    </row>
    <row r="1446" spans="1:22" s="40" customFormat="1" ht="30">
      <c r="A1446" s="1110"/>
      <c r="B1446" s="296"/>
      <c r="C1446" s="820" t="s">
        <v>655</v>
      </c>
      <c r="D1446" s="560">
        <f>G1445</f>
        <v>19</v>
      </c>
      <c r="E1446" s="459" t="s">
        <v>299</v>
      </c>
      <c r="F1446" s="463">
        <f>I1445</f>
        <v>2</v>
      </c>
      <c r="G1446" s="560">
        <v>25</v>
      </c>
      <c r="H1446" s="459" t="s">
        <v>299</v>
      </c>
      <c r="I1446" s="463">
        <v>16</v>
      </c>
      <c r="J1446" s="340">
        <v>4</v>
      </c>
      <c r="K1446" s="340"/>
      <c r="L1446" s="340">
        <v>3</v>
      </c>
      <c r="M1446" s="340">
        <v>1.8</v>
      </c>
      <c r="N1446" s="340">
        <f t="shared" si="193"/>
        <v>5.4</v>
      </c>
      <c r="O1446" s="340">
        <f t="shared" si="194"/>
        <v>21.6</v>
      </c>
      <c r="P1446" s="509">
        <v>9.8399999999999981</v>
      </c>
      <c r="Q1446" s="340"/>
      <c r="R1446" s="462">
        <f t="shared" si="195"/>
        <v>21.6</v>
      </c>
      <c r="S1446" s="340" t="s">
        <v>476</v>
      </c>
      <c r="T1446" s="347">
        <v>16</v>
      </c>
      <c r="U1446" s="883"/>
    </row>
    <row r="1447" spans="1:22" s="40" customFormat="1" ht="30">
      <c r="A1447" s="1110"/>
      <c r="B1447" s="296"/>
      <c r="C1447" s="820" t="s">
        <v>655</v>
      </c>
      <c r="D1447" s="560">
        <f>G1446</f>
        <v>25</v>
      </c>
      <c r="E1447" s="459" t="s">
        <v>299</v>
      </c>
      <c r="F1447" s="463">
        <f>I1446</f>
        <v>16</v>
      </c>
      <c r="G1447" s="560">
        <v>25</v>
      </c>
      <c r="H1447" s="459" t="s">
        <v>299</v>
      </c>
      <c r="I1447" s="463">
        <v>16</v>
      </c>
      <c r="J1447" s="340">
        <v>4</v>
      </c>
      <c r="K1447" s="340"/>
      <c r="L1447" s="340">
        <v>3</v>
      </c>
      <c r="M1447" s="340">
        <v>1.8</v>
      </c>
      <c r="N1447" s="340">
        <f t="shared" si="193"/>
        <v>5.4</v>
      </c>
      <c r="O1447" s="340">
        <f t="shared" si="194"/>
        <v>21.6</v>
      </c>
      <c r="P1447" s="868">
        <v>4.8</v>
      </c>
      <c r="Q1447" s="340"/>
      <c r="R1447" s="462">
        <f t="shared" si="195"/>
        <v>21.6</v>
      </c>
      <c r="S1447" s="340" t="s">
        <v>476</v>
      </c>
      <c r="T1447" s="347">
        <v>16</v>
      </c>
      <c r="U1447" s="883"/>
    </row>
    <row r="1448" spans="1:22" ht="30">
      <c r="A1448" s="1110"/>
      <c r="B1448" s="1008"/>
      <c r="C1448" s="820" t="s">
        <v>730</v>
      </c>
      <c r="D1448" s="538">
        <v>10</v>
      </c>
      <c r="E1448" s="456" t="s">
        <v>299</v>
      </c>
      <c r="F1448" s="534">
        <v>10</v>
      </c>
      <c r="G1448" s="538">
        <v>10</v>
      </c>
      <c r="H1448" s="456" t="s">
        <v>299</v>
      </c>
      <c r="I1448" s="534">
        <v>10</v>
      </c>
      <c r="J1448" s="509">
        <v>1</v>
      </c>
      <c r="K1448" s="509"/>
      <c r="L1448" s="509">
        <v>3</v>
      </c>
      <c r="M1448" s="509">
        <v>1.8</v>
      </c>
      <c r="N1448" s="509">
        <f t="shared" si="193"/>
        <v>5.4</v>
      </c>
      <c r="O1448" s="509">
        <f t="shared" si="194"/>
        <v>5.4</v>
      </c>
      <c r="P1448" s="868">
        <v>4.8</v>
      </c>
      <c r="Q1448" s="509"/>
      <c r="R1448" s="537">
        <f t="shared" si="195"/>
        <v>5.4</v>
      </c>
      <c r="S1448" s="509" t="s">
        <v>476</v>
      </c>
      <c r="T1448" s="539">
        <v>19</v>
      </c>
      <c r="U1448" s="883"/>
      <c r="V1448" s="842"/>
    </row>
    <row r="1449" spans="1:22" ht="30">
      <c r="A1449" s="1110"/>
      <c r="B1449" s="1008"/>
      <c r="C1449" s="820" t="s">
        <v>730</v>
      </c>
      <c r="D1449" s="538">
        <v>11</v>
      </c>
      <c r="E1449" s="456" t="s">
        <v>299</v>
      </c>
      <c r="F1449" s="534">
        <v>10</v>
      </c>
      <c r="G1449" s="538">
        <v>11</v>
      </c>
      <c r="H1449" s="456" t="s">
        <v>299</v>
      </c>
      <c r="I1449" s="534">
        <v>11</v>
      </c>
      <c r="J1449" s="509">
        <v>1</v>
      </c>
      <c r="K1449" s="509"/>
      <c r="L1449" s="509">
        <v>3</v>
      </c>
      <c r="M1449" s="509">
        <v>1.8</v>
      </c>
      <c r="N1449" s="509">
        <f>M1449*L1449</f>
        <v>5.4</v>
      </c>
      <c r="O1449" s="509">
        <f>N1449*J1449</f>
        <v>5.4</v>
      </c>
      <c r="P1449" s="868">
        <v>4.8</v>
      </c>
      <c r="Q1449" s="509"/>
      <c r="R1449" s="537">
        <f t="shared" si="195"/>
        <v>5.4</v>
      </c>
      <c r="S1449" s="509" t="s">
        <v>476</v>
      </c>
      <c r="T1449" s="539">
        <v>21</v>
      </c>
      <c r="U1449" s="883"/>
      <c r="V1449" s="842"/>
    </row>
    <row r="1450" spans="1:22" ht="30">
      <c r="A1450" s="1110"/>
      <c r="B1450" s="1008"/>
      <c r="C1450" s="820" t="s">
        <v>730</v>
      </c>
      <c r="D1450" s="538">
        <v>12</v>
      </c>
      <c r="E1450" s="456" t="s">
        <v>299</v>
      </c>
      <c r="F1450" s="534">
        <v>19</v>
      </c>
      <c r="G1450" s="538">
        <v>12</v>
      </c>
      <c r="H1450" s="456" t="s">
        <v>299</v>
      </c>
      <c r="I1450" s="534">
        <v>19</v>
      </c>
      <c r="J1450" s="509">
        <v>1</v>
      </c>
      <c r="K1450" s="509"/>
      <c r="L1450" s="509">
        <v>3.4</v>
      </c>
      <c r="M1450" s="509">
        <v>2.4</v>
      </c>
      <c r="N1450" s="509">
        <v>0.8</v>
      </c>
      <c r="O1450" s="509">
        <f>SUM(L1450+M1450)*2</f>
        <v>11.6</v>
      </c>
      <c r="P1450" s="536"/>
      <c r="Q1450" s="509"/>
      <c r="R1450" s="537">
        <f>O1450</f>
        <v>11.6</v>
      </c>
      <c r="S1450" s="509" t="s">
        <v>476</v>
      </c>
      <c r="T1450" s="539">
        <v>21</v>
      </c>
      <c r="U1450" s="1584" t="s">
        <v>787</v>
      </c>
      <c r="V1450" s="842"/>
    </row>
    <row r="1451" spans="1:22" ht="30">
      <c r="A1451" s="1110"/>
      <c r="B1451" s="1008"/>
      <c r="C1451" s="820" t="s">
        <v>730</v>
      </c>
      <c r="D1451" s="538">
        <v>31</v>
      </c>
      <c r="E1451" s="456" t="s">
        <v>299</v>
      </c>
      <c r="F1451" s="534">
        <v>12</v>
      </c>
      <c r="G1451" s="538">
        <v>31</v>
      </c>
      <c r="H1451" s="456" t="s">
        <v>299</v>
      </c>
      <c r="I1451" s="534">
        <v>12</v>
      </c>
      <c r="J1451" s="509">
        <v>1</v>
      </c>
      <c r="K1451" s="509"/>
      <c r="L1451" s="509">
        <v>3.4</v>
      </c>
      <c r="M1451" s="509">
        <v>2.4</v>
      </c>
      <c r="N1451" s="509">
        <v>0.8</v>
      </c>
      <c r="O1451" s="509">
        <f>SUM(L1451+M1451)*2</f>
        <v>11.6</v>
      </c>
      <c r="P1451" s="536"/>
      <c r="Q1451" s="509"/>
      <c r="R1451" s="537">
        <f t="shared" ref="R1451:R1456" si="196">O1451</f>
        <v>11.6</v>
      </c>
      <c r="S1451" s="509" t="s">
        <v>476</v>
      </c>
      <c r="T1451" s="539">
        <v>23</v>
      </c>
      <c r="U1451" s="1584"/>
      <c r="V1451" s="842"/>
    </row>
    <row r="1452" spans="1:22" ht="30">
      <c r="A1452" s="1110"/>
      <c r="B1452" s="1008"/>
      <c r="C1452" s="820" t="s">
        <v>730</v>
      </c>
      <c r="D1452" s="538">
        <v>25</v>
      </c>
      <c r="E1452" s="456"/>
      <c r="F1452" s="534"/>
      <c r="G1452" s="538"/>
      <c r="H1452" s="456"/>
      <c r="I1452" s="534"/>
      <c r="J1452" s="509">
        <v>1</v>
      </c>
      <c r="K1452" s="509"/>
      <c r="L1452" s="509">
        <v>2</v>
      </c>
      <c r="M1452" s="509">
        <v>0.67</v>
      </c>
      <c r="N1452" s="509"/>
      <c r="O1452" s="509">
        <f>SUM(L1452+M1452)*2</f>
        <v>5.34</v>
      </c>
      <c r="P1452" s="536"/>
      <c r="Q1452" s="509"/>
      <c r="R1452" s="537">
        <f t="shared" si="196"/>
        <v>5.34</v>
      </c>
      <c r="S1452" s="509" t="s">
        <v>476</v>
      </c>
      <c r="T1452" s="539">
        <v>24</v>
      </c>
      <c r="U1452" s="1584" t="s">
        <v>1038</v>
      </c>
      <c r="V1452" s="842"/>
    </row>
    <row r="1453" spans="1:22" ht="30">
      <c r="A1453" s="1110"/>
      <c r="B1453" s="1008"/>
      <c r="C1453" s="820" t="s">
        <v>730</v>
      </c>
      <c r="D1453" s="538">
        <v>25</v>
      </c>
      <c r="E1453" s="456"/>
      <c r="F1453" s="534"/>
      <c r="G1453" s="538"/>
      <c r="H1453" s="456"/>
      <c r="I1453" s="534"/>
      <c r="J1453" s="509">
        <v>2</v>
      </c>
      <c r="K1453" s="509"/>
      <c r="L1453" s="509">
        <f>SUM(1.5+2.6)</f>
        <v>4.0999999999999996</v>
      </c>
      <c r="M1453" s="509">
        <v>1.2</v>
      </c>
      <c r="N1453" s="509">
        <f t="shared" ref="N1453:N1460" si="197">L1453*M1453</f>
        <v>4.919999999999999</v>
      </c>
      <c r="O1453" s="509">
        <f t="shared" ref="O1453:O1459" si="198">N1453*J1453</f>
        <v>9.8399999999999981</v>
      </c>
      <c r="P1453" s="536"/>
      <c r="Q1453" s="509"/>
      <c r="R1453" s="537">
        <f t="shared" si="196"/>
        <v>9.8399999999999981</v>
      </c>
      <c r="S1453" s="509" t="s">
        <v>476</v>
      </c>
      <c r="T1453" s="539">
        <v>24</v>
      </c>
      <c r="U1453" s="1584" t="s">
        <v>991</v>
      </c>
      <c r="V1453" s="842"/>
    </row>
    <row r="1454" spans="1:22" ht="30">
      <c r="A1454" s="1110"/>
      <c r="B1454" s="1008"/>
      <c r="C1454" s="820" t="s">
        <v>730</v>
      </c>
      <c r="D1454" s="538">
        <v>39</v>
      </c>
      <c r="E1454" s="456" t="s">
        <v>299</v>
      </c>
      <c r="F1454" s="534">
        <v>16</v>
      </c>
      <c r="G1454" s="538"/>
      <c r="H1454" s="456"/>
      <c r="I1454" s="534"/>
      <c r="J1454" s="509">
        <v>2</v>
      </c>
      <c r="K1454" s="509"/>
      <c r="L1454" s="509">
        <v>2</v>
      </c>
      <c r="M1454" s="509">
        <v>1.2</v>
      </c>
      <c r="N1454" s="509">
        <f t="shared" si="197"/>
        <v>2.4</v>
      </c>
      <c r="O1454" s="509">
        <f t="shared" si="198"/>
        <v>4.8</v>
      </c>
      <c r="P1454" s="536"/>
      <c r="Q1454" s="509"/>
      <c r="R1454" s="537">
        <f t="shared" si="196"/>
        <v>4.8</v>
      </c>
      <c r="S1454" s="509" t="s">
        <v>476</v>
      </c>
      <c r="T1454" s="539">
        <v>25</v>
      </c>
      <c r="U1454" s="1584" t="s">
        <v>1038</v>
      </c>
      <c r="V1454" s="842"/>
    </row>
    <row r="1455" spans="1:22" ht="30">
      <c r="A1455" s="1110"/>
      <c r="B1455" s="1008"/>
      <c r="C1455" s="820" t="s">
        <v>730</v>
      </c>
      <c r="D1455" s="538">
        <v>25</v>
      </c>
      <c r="E1455" s="456" t="s">
        <v>299</v>
      </c>
      <c r="F1455" s="534">
        <v>16</v>
      </c>
      <c r="G1455" s="538"/>
      <c r="H1455" s="456"/>
      <c r="I1455" s="534"/>
      <c r="J1455" s="509">
        <v>2</v>
      </c>
      <c r="K1455" s="509"/>
      <c r="L1455" s="509">
        <v>2</v>
      </c>
      <c r="M1455" s="509">
        <v>1.2</v>
      </c>
      <c r="N1455" s="509">
        <f t="shared" si="197"/>
        <v>2.4</v>
      </c>
      <c r="O1455" s="509">
        <f t="shared" si="198"/>
        <v>4.8</v>
      </c>
      <c r="P1455" s="536"/>
      <c r="Q1455" s="509"/>
      <c r="R1455" s="537">
        <f t="shared" si="196"/>
        <v>4.8</v>
      </c>
      <c r="S1455" s="509" t="s">
        <v>476</v>
      </c>
      <c r="T1455" s="539">
        <v>26</v>
      </c>
      <c r="U1455" s="1584" t="s">
        <v>1073</v>
      </c>
      <c r="V1455" s="842"/>
    </row>
    <row r="1456" spans="1:22" ht="30">
      <c r="A1456" s="1110"/>
      <c r="B1456" s="1008"/>
      <c r="C1456" s="820" t="s">
        <v>730</v>
      </c>
      <c r="D1456" s="538">
        <v>17</v>
      </c>
      <c r="E1456" s="456" t="s">
        <v>299</v>
      </c>
      <c r="F1456" s="534">
        <v>19</v>
      </c>
      <c r="G1456" s="538"/>
      <c r="H1456" s="456"/>
      <c r="I1456" s="534"/>
      <c r="J1456" s="509">
        <v>2</v>
      </c>
      <c r="K1456" s="509"/>
      <c r="L1456" s="509">
        <v>2</v>
      </c>
      <c r="M1456" s="509">
        <v>1.2</v>
      </c>
      <c r="N1456" s="509">
        <f t="shared" si="197"/>
        <v>2.4</v>
      </c>
      <c r="O1456" s="509">
        <f t="shared" si="198"/>
        <v>4.8</v>
      </c>
      <c r="P1456" s="536"/>
      <c r="Q1456" s="509"/>
      <c r="R1456" s="537">
        <f t="shared" si="196"/>
        <v>4.8</v>
      </c>
      <c r="S1456" s="509" t="s">
        <v>476</v>
      </c>
      <c r="T1456" s="539">
        <v>26</v>
      </c>
      <c r="U1456" s="1584" t="s">
        <v>1074</v>
      </c>
      <c r="V1456" s="842"/>
    </row>
    <row r="1457" spans="1:22" ht="30">
      <c r="A1457" s="1110"/>
      <c r="B1457" s="1008"/>
      <c r="C1457" s="820" t="s">
        <v>730</v>
      </c>
      <c r="D1457" s="538">
        <v>42</v>
      </c>
      <c r="E1457" s="456" t="s">
        <v>299</v>
      </c>
      <c r="F1457" s="534">
        <v>12</v>
      </c>
      <c r="G1457" s="538"/>
      <c r="H1457" s="456"/>
      <c r="I1457" s="534"/>
      <c r="J1457" s="509">
        <v>2</v>
      </c>
      <c r="K1457" s="509"/>
      <c r="L1457" s="509">
        <v>2</v>
      </c>
      <c r="M1457" s="509">
        <v>1.2</v>
      </c>
      <c r="N1457" s="509">
        <f t="shared" si="197"/>
        <v>2.4</v>
      </c>
      <c r="O1457" s="509">
        <f t="shared" si="198"/>
        <v>4.8</v>
      </c>
      <c r="P1457" s="536"/>
      <c r="Q1457" s="509"/>
      <c r="R1457" s="537">
        <f t="shared" ref="R1457" si="199">O1457</f>
        <v>4.8</v>
      </c>
      <c r="S1457" s="509" t="s">
        <v>476</v>
      </c>
      <c r="T1457" s="539">
        <v>27</v>
      </c>
      <c r="U1457" s="1584" t="s">
        <v>1117</v>
      </c>
      <c r="V1457" s="842"/>
    </row>
    <row r="1458" spans="1:22" s="687" customFormat="1" ht="30">
      <c r="A1458" s="1771"/>
      <c r="B1458" s="1001"/>
      <c r="C1458" s="766" t="s">
        <v>730</v>
      </c>
      <c r="D1458" s="1499">
        <f>D808</f>
        <v>41</v>
      </c>
      <c r="E1458" s="888"/>
      <c r="F1458" s="896"/>
      <c r="G1458" s="895"/>
      <c r="H1458" s="888"/>
      <c r="I1458" s="896"/>
      <c r="J1458" s="868">
        <v>1</v>
      </c>
      <c r="K1458" s="868"/>
      <c r="L1458" s="868">
        <v>2</v>
      </c>
      <c r="M1458" s="868">
        <v>1.2</v>
      </c>
      <c r="N1458" s="868">
        <f t="shared" si="197"/>
        <v>2.4</v>
      </c>
      <c r="O1458" s="868">
        <f t="shared" si="198"/>
        <v>2.4</v>
      </c>
      <c r="P1458" s="890"/>
      <c r="Q1458" s="868"/>
      <c r="R1458" s="891">
        <f t="shared" ref="R1458" si="200">O1458</f>
        <v>2.4</v>
      </c>
      <c r="S1458" s="868" t="s">
        <v>476</v>
      </c>
      <c r="T1458" s="892">
        <v>28</v>
      </c>
      <c r="U1458" s="1586" t="s">
        <v>1169</v>
      </c>
      <c r="V1458" s="1054"/>
    </row>
    <row r="1459" spans="1:22" s="687" customFormat="1" ht="30">
      <c r="A1459" s="1771"/>
      <c r="B1459" s="1001"/>
      <c r="C1459" s="766" t="s">
        <v>730</v>
      </c>
      <c r="D1459" s="1499">
        <v>32</v>
      </c>
      <c r="E1459" s="888"/>
      <c r="F1459" s="896"/>
      <c r="G1459" s="895"/>
      <c r="H1459" s="888"/>
      <c r="I1459" s="896"/>
      <c r="J1459" s="868">
        <v>1</v>
      </c>
      <c r="K1459" s="868"/>
      <c r="L1459" s="868">
        <v>2</v>
      </c>
      <c r="M1459" s="868">
        <v>1.2</v>
      </c>
      <c r="N1459" s="868">
        <f t="shared" si="197"/>
        <v>2.4</v>
      </c>
      <c r="O1459" s="868">
        <f t="shared" si="198"/>
        <v>2.4</v>
      </c>
      <c r="P1459" s="890"/>
      <c r="Q1459" s="868"/>
      <c r="R1459" s="891">
        <f t="shared" ref="R1459:R1460" si="201">O1459</f>
        <v>2.4</v>
      </c>
      <c r="S1459" s="868" t="s">
        <v>476</v>
      </c>
      <c r="T1459" s="892">
        <v>28</v>
      </c>
      <c r="U1459" s="1586" t="s">
        <v>1170</v>
      </c>
      <c r="V1459" s="1054"/>
    </row>
    <row r="1460" spans="1:22" s="687" customFormat="1" ht="30">
      <c r="A1460" s="1771"/>
      <c r="B1460" s="2291"/>
      <c r="C1460" s="2172" t="s">
        <v>730</v>
      </c>
      <c r="D1460" s="2292">
        <f>D810</f>
        <v>33</v>
      </c>
      <c r="E1460" s="2293" t="s">
        <v>299</v>
      </c>
      <c r="F1460" s="2294">
        <v>14</v>
      </c>
      <c r="G1460" s="2295"/>
      <c r="H1460" s="2293"/>
      <c r="I1460" s="2294"/>
      <c r="J1460" s="1718">
        <v>1</v>
      </c>
      <c r="K1460" s="1718"/>
      <c r="L1460" s="1718">
        <v>2</v>
      </c>
      <c r="M1460" s="1718">
        <v>1.2</v>
      </c>
      <c r="N1460" s="1718">
        <f t="shared" si="197"/>
        <v>2.4</v>
      </c>
      <c r="O1460" s="1718">
        <v>0.6</v>
      </c>
      <c r="P1460" s="1719"/>
      <c r="Q1460" s="1718"/>
      <c r="R1460" s="1720">
        <f t="shared" si="201"/>
        <v>0.6</v>
      </c>
      <c r="S1460" s="1718" t="s">
        <v>476</v>
      </c>
      <c r="T1460" s="1721">
        <v>28</v>
      </c>
      <c r="U1460" s="2296" t="s">
        <v>1171</v>
      </c>
      <c r="V1460" s="1054"/>
    </row>
    <row r="1461" spans="1:22" s="687" customFormat="1" hidden="1">
      <c r="A1461" s="1108"/>
      <c r="B1461" s="1394"/>
      <c r="C1461" s="2159"/>
      <c r="D1461" s="2160"/>
      <c r="E1461" s="1396"/>
      <c r="F1461" s="1366"/>
      <c r="G1461" s="1398"/>
      <c r="H1461" s="1396"/>
      <c r="I1461" s="1366"/>
      <c r="J1461" s="2161"/>
      <c r="K1461" s="2161"/>
      <c r="L1461" s="2161"/>
      <c r="M1461" s="2161"/>
      <c r="N1461" s="2161"/>
      <c r="O1461" s="2161"/>
      <c r="P1461" s="2162"/>
      <c r="Q1461" s="2161"/>
      <c r="R1461" s="1399"/>
      <c r="S1461" s="2161"/>
      <c r="T1461" s="1627"/>
      <c r="U1461" s="2163"/>
      <c r="V1461" s="1054"/>
    </row>
    <row r="1462" spans="1:22">
      <c r="A1462" s="1110"/>
      <c r="B1462" s="805"/>
      <c r="C1462" s="2297"/>
      <c r="D1462" s="1237"/>
      <c r="E1462" s="527"/>
      <c r="F1462" s="2256"/>
      <c r="G1462" s="524"/>
      <c r="H1462" s="527"/>
      <c r="I1462" s="599"/>
      <c r="J1462" s="2260"/>
      <c r="K1462" s="2260"/>
      <c r="L1462" s="2260"/>
      <c r="M1462" s="2260"/>
      <c r="N1462" s="2260"/>
      <c r="O1462" s="2260"/>
      <c r="P1462" s="2263"/>
      <c r="Q1462" s="2260"/>
      <c r="R1462" s="531"/>
      <c r="S1462" s="599"/>
      <c r="T1462" s="2298"/>
      <c r="U1462" s="2299"/>
      <c r="V1462" s="842"/>
    </row>
    <row r="1463" spans="1:22" s="164" customFormat="1">
      <c r="A1463" s="1106"/>
      <c r="B1463" s="239"/>
      <c r="C1463" s="1603"/>
      <c r="D1463" s="2730" t="s">
        <v>257</v>
      </c>
      <c r="E1463" s="2731"/>
      <c r="F1463" s="2731"/>
      <c r="G1463" s="2731"/>
      <c r="H1463" s="2731"/>
      <c r="I1463" s="2732"/>
      <c r="J1463" s="2490">
        <f>VLOOKUP(A1465,'11 - FINANCEIRA'!$A$16:$AE$156,30,FALSE)</f>
        <v>201.3</v>
      </c>
      <c r="K1463" s="2491"/>
      <c r="L1463" s="309" t="str">
        <f>VLOOKUP(A1465,'11 - FINANCEIRA'!_xlnm.Print_Area,4,FALSE)</f>
        <v>M²</v>
      </c>
      <c r="M1463" s="2727" t="s">
        <v>258</v>
      </c>
      <c r="N1463" s="2728"/>
      <c r="O1463" s="2728"/>
      <c r="P1463" s="2728"/>
      <c r="Q1463" s="2729"/>
      <c r="R1463" s="248">
        <f>SUM(R1443:R1461)</f>
        <v>199.78000000000006</v>
      </c>
      <c r="S1463" s="310" t="str">
        <f>L1463</f>
        <v>M²</v>
      </c>
      <c r="T1463" s="321"/>
      <c r="U1463" s="322"/>
      <c r="V1463" s="662"/>
    </row>
    <row r="1464" spans="1:22" s="164" customFormat="1">
      <c r="A1464" s="1106"/>
      <c r="B1464" s="1123"/>
      <c r="C1464" s="2182"/>
      <c r="D1464" s="2478" t="s">
        <v>259</v>
      </c>
      <c r="E1464" s="2479"/>
      <c r="F1464" s="2479"/>
      <c r="G1464" s="2479"/>
      <c r="H1464" s="2479"/>
      <c r="I1464" s="2480"/>
      <c r="J1464" s="2484">
        <f>R1463/J1463</f>
        <v>0.99244908097367135</v>
      </c>
      <c r="K1464" s="2485"/>
      <c r="L1464" s="743"/>
      <c r="M1464" s="2727" t="s">
        <v>260</v>
      </c>
      <c r="N1464" s="2728"/>
      <c r="O1464" s="2728"/>
      <c r="P1464" s="2728"/>
      <c r="Q1464" s="2729"/>
      <c r="R1464" s="248">
        <f>VLOOKUP(A1465,'11 - FINANCEIRA'!_xlnm.Print_Area,8,FALSE)</f>
        <v>194.38000000000005</v>
      </c>
      <c r="S1464" s="249" t="str">
        <f>L1463</f>
        <v>M²</v>
      </c>
      <c r="T1464" s="244"/>
      <c r="U1464" s="1124"/>
      <c r="V1464" s="662"/>
    </row>
    <row r="1465" spans="1:22" s="164" customFormat="1">
      <c r="A1465" s="1106" t="s">
        <v>431</v>
      </c>
      <c r="B1465" s="250"/>
      <c r="C1465" s="598"/>
      <c r="D1465" s="2481"/>
      <c r="E1465" s="2482"/>
      <c r="F1465" s="2482"/>
      <c r="G1465" s="2482"/>
      <c r="H1465" s="2482"/>
      <c r="I1465" s="2483"/>
      <c r="J1465" s="2486"/>
      <c r="K1465" s="2487"/>
      <c r="L1465" s="751"/>
      <c r="M1465" s="2727" t="s">
        <v>261</v>
      </c>
      <c r="N1465" s="2728"/>
      <c r="O1465" s="2728"/>
      <c r="P1465" s="2728"/>
      <c r="Q1465" s="2729"/>
      <c r="R1465" s="248">
        <f>R1463-R1464</f>
        <v>5.4000000000000057</v>
      </c>
      <c r="S1465" s="249" t="str">
        <f>L1463</f>
        <v>M²</v>
      </c>
      <c r="T1465" s="562"/>
      <c r="U1465" s="563"/>
      <c r="V1465" s="662"/>
    </row>
    <row r="1466" spans="1:22" s="164" customFormat="1" ht="31.5" hidden="1">
      <c r="A1466" s="1106"/>
      <c r="B1466" s="2097">
        <f>VLOOKUP(A1472,'11 - FINANCEIRA'!_xlnm.Print_Area,2,FALSE)</f>
        <v>40937</v>
      </c>
      <c r="C1466" s="2164" t="str">
        <f>VLOOKUP(A1472,'11 - FINANCEIRA'!_xlnm.Print_Area,3,FALSE)</f>
        <v>Placa de sinalização com Chapas em Esmalte Sintético</v>
      </c>
      <c r="D1466" s="2626" t="s">
        <v>242</v>
      </c>
      <c r="E1466" s="2627"/>
      <c r="F1466" s="2627"/>
      <c r="G1466" s="2627"/>
      <c r="H1466" s="2627"/>
      <c r="I1466" s="2628"/>
      <c r="J1466" s="2165" t="s">
        <v>373</v>
      </c>
      <c r="K1466" s="2098" t="s">
        <v>244</v>
      </c>
      <c r="L1466" s="2098" t="s">
        <v>245</v>
      </c>
      <c r="M1466" s="2165" t="s">
        <v>246</v>
      </c>
      <c r="N1466" s="2165" t="s">
        <v>247</v>
      </c>
      <c r="O1466" s="2165" t="s">
        <v>248</v>
      </c>
      <c r="P1466" s="2100" t="s">
        <v>249</v>
      </c>
      <c r="Q1466" s="2098" t="s">
        <v>250</v>
      </c>
      <c r="R1466" s="2166" t="s">
        <v>139</v>
      </c>
      <c r="S1466" s="2165" t="s">
        <v>251</v>
      </c>
      <c r="T1466" s="2165" t="s">
        <v>252</v>
      </c>
      <c r="U1466" s="2167" t="s">
        <v>253</v>
      </c>
      <c r="V1466" s="662"/>
    </row>
    <row r="1467" spans="1:22" s="164" customFormat="1" hidden="1">
      <c r="A1467" s="1106"/>
      <c r="B1467" s="718"/>
      <c r="C1467" s="736"/>
      <c r="D1467" s="2475" t="s">
        <v>254</v>
      </c>
      <c r="E1467" s="2476"/>
      <c r="F1467" s="2477"/>
      <c r="G1467" s="2469" t="s">
        <v>255</v>
      </c>
      <c r="H1467" s="2470"/>
      <c r="I1467" s="2471"/>
      <c r="J1467" s="740"/>
      <c r="K1467" s="740"/>
      <c r="L1467" s="740"/>
      <c r="M1467" s="740"/>
      <c r="N1467" s="740"/>
      <c r="O1467" s="740"/>
      <c r="P1467" s="177" t="s">
        <v>256</v>
      </c>
      <c r="Q1467" s="740"/>
      <c r="R1467" s="741"/>
      <c r="S1467" s="740"/>
      <c r="T1467" s="740"/>
      <c r="U1467" s="742"/>
      <c r="V1467" s="662"/>
    </row>
    <row r="1468" spans="1:22" s="40" customFormat="1" ht="20.25" hidden="1">
      <c r="A1468" s="1110"/>
      <c r="B1468" s="336"/>
      <c r="C1468" s="831" t="s">
        <v>515</v>
      </c>
      <c r="D1468" s="485"/>
      <c r="E1468" s="470"/>
      <c r="F1468" s="486"/>
      <c r="G1468" s="485"/>
      <c r="H1468" s="473"/>
      <c r="I1468" s="486"/>
      <c r="J1468" s="275">
        <v>22</v>
      </c>
      <c r="K1468" s="411"/>
      <c r="L1468" s="275">
        <v>1</v>
      </c>
      <c r="M1468" s="275">
        <v>0.66</v>
      </c>
      <c r="N1468" s="275">
        <f>L1468*M1468</f>
        <v>0.66</v>
      </c>
      <c r="O1468" s="275"/>
      <c r="P1468" s="338"/>
      <c r="Q1468" s="275"/>
      <c r="R1468" s="191">
        <f>N1468*J1468</f>
        <v>14.520000000000001</v>
      </c>
      <c r="S1468" s="489" t="s">
        <v>477</v>
      </c>
      <c r="T1468" s="355">
        <v>12</v>
      </c>
      <c r="U1468" s="837"/>
    </row>
    <row r="1469" spans="1:22" s="40" customFormat="1" ht="20.25" hidden="1">
      <c r="A1469" s="1110"/>
      <c r="B1469" s="1126"/>
      <c r="C1469" s="1151"/>
      <c r="D1469" s="878"/>
      <c r="E1469" s="444"/>
      <c r="F1469" s="1729"/>
      <c r="G1469" s="444"/>
      <c r="H1469" s="447"/>
      <c r="I1469" s="879"/>
      <c r="J1469" s="1729"/>
      <c r="K1469" s="1760"/>
      <c r="L1469" s="1729"/>
      <c r="M1469" s="1729"/>
      <c r="N1469" s="1729"/>
      <c r="O1469" s="1729"/>
      <c r="P1469" s="1729"/>
      <c r="Q1469" s="879"/>
      <c r="R1469" s="450"/>
      <c r="S1469" s="445"/>
      <c r="T1469" s="1028"/>
      <c r="U1469" s="837"/>
    </row>
    <row r="1470" spans="1:22" s="164" customFormat="1" hidden="1">
      <c r="A1470" s="1106"/>
      <c r="B1470" s="239"/>
      <c r="C1470" s="1603"/>
      <c r="D1470" s="2730" t="s">
        <v>257</v>
      </c>
      <c r="E1470" s="2731"/>
      <c r="F1470" s="2731"/>
      <c r="G1470" s="2731"/>
      <c r="H1470" s="2731"/>
      <c r="I1470" s="2732"/>
      <c r="J1470" s="2490">
        <f>VLOOKUP(A1472,'11 - FINANCEIRA'!_xlnm.Print_Area,30,FALSE)</f>
        <v>14.52</v>
      </c>
      <c r="K1470" s="2491"/>
      <c r="L1470" s="309" t="str">
        <f>VLOOKUP(A1472,'11 - FINANCEIRA'!_xlnm.Print_Area,4,FALSE)</f>
        <v>M²</v>
      </c>
      <c r="M1470" s="2727" t="s">
        <v>258</v>
      </c>
      <c r="N1470" s="2728"/>
      <c r="O1470" s="2728"/>
      <c r="P1470" s="2728"/>
      <c r="Q1470" s="2729"/>
      <c r="R1470" s="248">
        <f>SUM(R1468:R1468)</f>
        <v>14.520000000000001</v>
      </c>
      <c r="S1470" s="310" t="str">
        <f>L1470</f>
        <v>M²</v>
      </c>
      <c r="T1470" s="321"/>
      <c r="U1470" s="322"/>
      <c r="V1470" s="662"/>
    </row>
    <row r="1471" spans="1:22" s="164" customFormat="1" hidden="1">
      <c r="A1471" s="1106"/>
      <c r="B1471" s="246"/>
      <c r="C1471" s="247"/>
      <c r="D1471" s="2478" t="s">
        <v>259</v>
      </c>
      <c r="E1471" s="2479"/>
      <c r="F1471" s="2479"/>
      <c r="G1471" s="2479"/>
      <c r="H1471" s="2479"/>
      <c r="I1471" s="2480"/>
      <c r="J1471" s="2484">
        <f>R1470/J1470</f>
        <v>1.0000000000000002</v>
      </c>
      <c r="K1471" s="2485"/>
      <c r="L1471" s="743"/>
      <c r="M1471" s="2727" t="s">
        <v>260</v>
      </c>
      <c r="N1471" s="2728"/>
      <c r="O1471" s="2728"/>
      <c r="P1471" s="2728"/>
      <c r="Q1471" s="2729"/>
      <c r="R1471" s="248">
        <f>VLOOKUP(A1472,'11 - FINANCEIRA'!_xlnm.Print_Area,8,FALSE)</f>
        <v>14.520000000000001</v>
      </c>
      <c r="S1471" s="249" t="str">
        <f>L1470</f>
        <v>M²</v>
      </c>
      <c r="T1471" s="244"/>
      <c r="U1471" s="245"/>
      <c r="V1471" s="662"/>
    </row>
    <row r="1472" spans="1:22" s="164" customFormat="1" hidden="1">
      <c r="A1472" s="1106" t="s">
        <v>432</v>
      </c>
      <c r="B1472" s="250"/>
      <c r="C1472" s="598"/>
      <c r="D1472" s="2481"/>
      <c r="E1472" s="2482"/>
      <c r="F1472" s="2482"/>
      <c r="G1472" s="2482"/>
      <c r="H1472" s="2482"/>
      <c r="I1472" s="2483"/>
      <c r="J1472" s="2486"/>
      <c r="K1472" s="2487"/>
      <c r="L1472" s="751"/>
      <c r="M1472" s="2727" t="s">
        <v>261</v>
      </c>
      <c r="N1472" s="2728"/>
      <c r="O1472" s="2728"/>
      <c r="P1472" s="2728"/>
      <c r="Q1472" s="2729"/>
      <c r="R1472" s="248">
        <f>R1470-R1471</f>
        <v>0</v>
      </c>
      <c r="S1472" s="249" t="str">
        <f>L1470</f>
        <v>M²</v>
      </c>
      <c r="T1472" s="562"/>
      <c r="U1472" s="563"/>
      <c r="V1472" s="662"/>
    </row>
    <row r="1473" spans="1:22" s="164" customFormat="1" hidden="1">
      <c r="A1473" s="1770"/>
      <c r="B1473" s="660"/>
      <c r="D1473" s="661"/>
      <c r="E1473" s="662"/>
      <c r="F1473" s="663"/>
      <c r="G1473" s="661"/>
      <c r="I1473" s="663"/>
      <c r="K1473" s="664"/>
      <c r="L1473" s="664"/>
      <c r="N1473" s="511"/>
      <c r="O1473" s="662"/>
      <c r="Q1473" s="665"/>
      <c r="R1473" s="666"/>
      <c r="S1473" s="667"/>
      <c r="U1473" s="662"/>
      <c r="V1473" s="662"/>
    </row>
    <row r="1474" spans="1:22" s="164" customFormat="1" ht="36" hidden="1" customHeight="1">
      <c r="A1474" s="1106"/>
      <c r="B1474" s="1683">
        <f>VLOOKUP(A1499,'11 - FINANCEIRA'!_xlnm.Print_Area,2,FALSE)</f>
        <v>41359</v>
      </c>
      <c r="C1474" s="1684" t="str">
        <f>VLOOKUP(A1499,'11 - FINANCEIRA'!_xlnm.Print_Area,3,FALSE)</f>
        <v xml:space="preserve">Tela de Proteção de segurança de PVC cor Laranja com Suporte para Sinalização de Obra </v>
      </c>
      <c r="D1474" s="2745" t="s">
        <v>242</v>
      </c>
      <c r="E1474" s="2745"/>
      <c r="F1474" s="2745"/>
      <c r="G1474" s="2745"/>
      <c r="H1474" s="2745"/>
      <c r="I1474" s="2745"/>
      <c r="J1474" s="1685" t="s">
        <v>373</v>
      </c>
      <c r="K1474" s="1686" t="s">
        <v>244</v>
      </c>
      <c r="L1474" s="1686" t="s">
        <v>245</v>
      </c>
      <c r="M1474" s="716" t="s">
        <v>246</v>
      </c>
      <c r="N1474" s="1685" t="s">
        <v>247</v>
      </c>
      <c r="O1474" s="1685" t="s">
        <v>950</v>
      </c>
      <c r="P1474" s="1686" t="s">
        <v>1108</v>
      </c>
      <c r="Q1474" s="1686" t="s">
        <v>543</v>
      </c>
      <c r="R1474" s="1687" t="s">
        <v>139</v>
      </c>
      <c r="S1474" s="1685" t="s">
        <v>251</v>
      </c>
      <c r="T1474" s="1685" t="s">
        <v>252</v>
      </c>
      <c r="U1474" s="1688" t="s">
        <v>253</v>
      </c>
      <c r="V1474" s="662"/>
    </row>
    <row r="1475" spans="1:22" s="164" customFormat="1" hidden="1">
      <c r="A1475" s="1106"/>
      <c r="B1475" s="178"/>
      <c r="C1475" s="1689"/>
      <c r="D1475" s="2744" t="s">
        <v>254</v>
      </c>
      <c r="E1475" s="2744"/>
      <c r="F1475" s="2744"/>
      <c r="G1475" s="2740" t="s">
        <v>255</v>
      </c>
      <c r="H1475" s="2740"/>
      <c r="I1475" s="2740"/>
      <c r="J1475" s="1690"/>
      <c r="K1475" s="1690"/>
      <c r="L1475" s="1690"/>
      <c r="M1475" s="1690"/>
      <c r="N1475" s="1690"/>
      <c r="O1475" s="1690"/>
      <c r="P1475" s="1691"/>
      <c r="Q1475" s="1690"/>
      <c r="R1475" s="1692"/>
      <c r="S1475" s="1690"/>
      <c r="T1475" s="1690"/>
      <c r="U1475" s="1693"/>
      <c r="V1475" s="662"/>
    </row>
    <row r="1476" spans="1:22" s="40" customFormat="1" ht="30" hidden="1">
      <c r="A1476" s="1110"/>
      <c r="B1476" s="296"/>
      <c r="C1476" s="820" t="s">
        <v>516</v>
      </c>
      <c r="D1476" s="560">
        <v>-1</v>
      </c>
      <c r="E1476" s="464" t="s">
        <v>299</v>
      </c>
      <c r="F1476" s="463">
        <v>0</v>
      </c>
      <c r="G1476" s="560">
        <v>8</v>
      </c>
      <c r="H1476" s="459" t="s">
        <v>299</v>
      </c>
      <c r="I1476" s="463">
        <v>12</v>
      </c>
      <c r="J1476" s="340">
        <v>2</v>
      </c>
      <c r="K1476" s="340">
        <f t="shared" ref="K1476:K1481" si="202">SUM(G1476*20+I1476)-(D1476*20+F1476)</f>
        <v>192</v>
      </c>
      <c r="L1476" s="340"/>
      <c r="M1476" s="340"/>
      <c r="N1476" s="340"/>
      <c r="O1476" s="340"/>
      <c r="P1476" s="461"/>
      <c r="Q1476" s="340"/>
      <c r="R1476" s="462">
        <f t="shared" ref="R1476:R1481" si="203">K1476*J1476</f>
        <v>384</v>
      </c>
      <c r="S1476" s="434" t="s">
        <v>144</v>
      </c>
      <c r="T1476" s="347">
        <v>12</v>
      </c>
      <c r="U1476" s="839"/>
    </row>
    <row r="1477" spans="1:22" s="40" customFormat="1" ht="30" hidden="1">
      <c r="A1477" s="1110"/>
      <c r="B1477" s="296"/>
      <c r="C1477" s="820" t="s">
        <v>517</v>
      </c>
      <c r="D1477" s="560">
        <v>0</v>
      </c>
      <c r="E1477" s="464" t="s">
        <v>299</v>
      </c>
      <c r="F1477" s="463">
        <v>14.04</v>
      </c>
      <c r="G1477" s="560">
        <v>11</v>
      </c>
      <c r="H1477" s="459" t="s">
        <v>299</v>
      </c>
      <c r="I1477" s="463">
        <v>10</v>
      </c>
      <c r="J1477" s="340">
        <v>2</v>
      </c>
      <c r="K1477" s="340">
        <f t="shared" si="202"/>
        <v>215.96</v>
      </c>
      <c r="L1477" s="340"/>
      <c r="M1477" s="340"/>
      <c r="N1477" s="340"/>
      <c r="O1477" s="340"/>
      <c r="P1477" s="461"/>
      <c r="Q1477" s="340"/>
      <c r="R1477" s="462">
        <f t="shared" si="203"/>
        <v>431.92</v>
      </c>
      <c r="S1477" s="434" t="s">
        <v>144</v>
      </c>
      <c r="T1477" s="347">
        <v>12</v>
      </c>
      <c r="U1477" s="839"/>
    </row>
    <row r="1478" spans="1:22" s="40" customFormat="1" ht="30" hidden="1">
      <c r="A1478" s="1110"/>
      <c r="B1478" s="296"/>
      <c r="C1478" s="820" t="s">
        <v>516</v>
      </c>
      <c r="D1478" s="560">
        <v>11</v>
      </c>
      <c r="E1478" s="464" t="s">
        <v>299</v>
      </c>
      <c r="F1478" s="463">
        <v>10</v>
      </c>
      <c r="G1478" s="560">
        <v>14</v>
      </c>
      <c r="H1478" s="459" t="s">
        <v>299</v>
      </c>
      <c r="I1478" s="463">
        <v>14</v>
      </c>
      <c r="J1478" s="340">
        <v>2</v>
      </c>
      <c r="K1478" s="340">
        <f t="shared" si="202"/>
        <v>64</v>
      </c>
      <c r="L1478" s="340"/>
      <c r="M1478" s="340"/>
      <c r="N1478" s="340"/>
      <c r="O1478" s="340"/>
      <c r="P1478" s="461"/>
      <c r="Q1478" s="340"/>
      <c r="R1478" s="462">
        <f t="shared" si="203"/>
        <v>128</v>
      </c>
      <c r="S1478" s="434" t="s">
        <v>144</v>
      </c>
      <c r="T1478" s="347">
        <v>13</v>
      </c>
      <c r="U1478" s="839"/>
    </row>
    <row r="1479" spans="1:22" s="40" customFormat="1" ht="30" hidden="1">
      <c r="A1479" s="1110"/>
      <c r="B1479" s="296"/>
      <c r="C1479" s="820" t="s">
        <v>516</v>
      </c>
      <c r="D1479" s="560">
        <v>14</v>
      </c>
      <c r="E1479" s="464" t="s">
        <v>299</v>
      </c>
      <c r="F1479" s="463">
        <v>14</v>
      </c>
      <c r="G1479" s="560">
        <v>19</v>
      </c>
      <c r="H1479" s="459" t="s">
        <v>299</v>
      </c>
      <c r="I1479" s="463">
        <v>2</v>
      </c>
      <c r="J1479" s="340">
        <v>2</v>
      </c>
      <c r="K1479" s="340">
        <f t="shared" si="202"/>
        <v>88</v>
      </c>
      <c r="L1479" s="340"/>
      <c r="M1479" s="340"/>
      <c r="N1479" s="340"/>
      <c r="O1479" s="340"/>
      <c r="P1479" s="461"/>
      <c r="Q1479" s="340"/>
      <c r="R1479" s="462">
        <f t="shared" si="203"/>
        <v>176</v>
      </c>
      <c r="S1479" s="434" t="s">
        <v>144</v>
      </c>
      <c r="T1479" s="347">
        <v>14</v>
      </c>
      <c r="U1479" s="839"/>
    </row>
    <row r="1480" spans="1:22" s="40" customFormat="1" ht="30" hidden="1">
      <c r="A1480" s="1110"/>
      <c r="B1480" s="296"/>
      <c r="C1480" s="820" t="s">
        <v>516</v>
      </c>
      <c r="D1480" s="560">
        <v>19</v>
      </c>
      <c r="E1480" s="464" t="s">
        <v>299</v>
      </c>
      <c r="F1480" s="463">
        <v>2</v>
      </c>
      <c r="G1480" s="560">
        <v>21</v>
      </c>
      <c r="H1480" s="459" t="s">
        <v>299</v>
      </c>
      <c r="I1480" s="463">
        <v>9</v>
      </c>
      <c r="J1480" s="340">
        <v>2</v>
      </c>
      <c r="K1480" s="340">
        <f t="shared" si="202"/>
        <v>47</v>
      </c>
      <c r="L1480" s="340"/>
      <c r="M1480" s="340"/>
      <c r="N1480" s="340"/>
      <c r="O1480" s="340"/>
      <c r="P1480" s="461"/>
      <c r="Q1480" s="340"/>
      <c r="R1480" s="462">
        <f t="shared" si="203"/>
        <v>94</v>
      </c>
      <c r="S1480" s="434" t="s">
        <v>144</v>
      </c>
      <c r="T1480" s="347">
        <v>15</v>
      </c>
      <c r="U1480" s="839"/>
    </row>
    <row r="1481" spans="1:22" s="40" customFormat="1" ht="30" hidden="1">
      <c r="A1481" s="1110"/>
      <c r="B1481" s="296"/>
      <c r="C1481" s="820" t="s">
        <v>516</v>
      </c>
      <c r="D1481" s="560">
        <f>G1480</f>
        <v>21</v>
      </c>
      <c r="E1481" s="464" t="s">
        <v>299</v>
      </c>
      <c r="F1481" s="463">
        <f>I1480</f>
        <v>9</v>
      </c>
      <c r="G1481" s="560">
        <v>25</v>
      </c>
      <c r="H1481" s="459" t="s">
        <v>299</v>
      </c>
      <c r="I1481" s="463">
        <v>16</v>
      </c>
      <c r="J1481" s="340">
        <v>2</v>
      </c>
      <c r="K1481" s="340">
        <f t="shared" si="202"/>
        <v>87</v>
      </c>
      <c r="L1481" s="340"/>
      <c r="M1481" s="340"/>
      <c r="N1481" s="340"/>
      <c r="O1481" s="340"/>
      <c r="P1481" s="461"/>
      <c r="Q1481" s="340"/>
      <c r="R1481" s="462">
        <f t="shared" si="203"/>
        <v>174</v>
      </c>
      <c r="S1481" s="434" t="s">
        <v>144</v>
      </c>
      <c r="T1481" s="347">
        <v>16</v>
      </c>
      <c r="U1481" s="839"/>
    </row>
    <row r="1482" spans="1:22" s="40" customFormat="1" ht="30" hidden="1">
      <c r="A1482" s="1110"/>
      <c r="B1482" s="296"/>
      <c r="C1482" s="820" t="s">
        <v>667</v>
      </c>
      <c r="D1482" s="560"/>
      <c r="E1482" s="464"/>
      <c r="F1482" s="463"/>
      <c r="G1482" s="560"/>
      <c r="H1482" s="459"/>
      <c r="I1482" s="463"/>
      <c r="J1482" s="340">
        <v>5</v>
      </c>
      <c r="K1482" s="340">
        <v>7</v>
      </c>
      <c r="L1482" s="340">
        <v>5</v>
      </c>
      <c r="M1482" s="340"/>
      <c r="N1482" s="340"/>
      <c r="O1482" s="340"/>
      <c r="P1482" s="461"/>
      <c r="Q1482" s="340"/>
      <c r="R1482" s="462">
        <f>K1482*J1482*L1482</f>
        <v>175</v>
      </c>
      <c r="S1482" s="434" t="s">
        <v>144</v>
      </c>
      <c r="T1482" s="347">
        <v>17</v>
      </c>
      <c r="U1482" s="989" t="s">
        <v>666</v>
      </c>
    </row>
    <row r="1483" spans="1:22" s="40" customFormat="1" ht="30" hidden="1">
      <c r="A1483" s="1110"/>
      <c r="B1483" s="296"/>
      <c r="C1483" s="820" t="s">
        <v>517</v>
      </c>
      <c r="D1483" s="560">
        <v>7</v>
      </c>
      <c r="E1483" s="464" t="s">
        <v>299</v>
      </c>
      <c r="F1483" s="463">
        <v>4</v>
      </c>
      <c r="G1483" s="560">
        <v>8</v>
      </c>
      <c r="H1483" s="459" t="s">
        <v>299</v>
      </c>
      <c r="I1483" s="463">
        <v>13</v>
      </c>
      <c r="J1483" s="340">
        <v>2</v>
      </c>
      <c r="K1483" s="340">
        <f>SUM(G1483*20+I1483)-(D1483*20+F1483)</f>
        <v>29</v>
      </c>
      <c r="L1483" s="340"/>
      <c r="M1483" s="340"/>
      <c r="N1483" s="340"/>
      <c r="O1483" s="340"/>
      <c r="P1483" s="461"/>
      <c r="Q1483" s="340"/>
      <c r="R1483" s="462">
        <f>SUM(K1483+L1483)*2*J1483</f>
        <v>116</v>
      </c>
      <c r="S1483" s="434" t="s">
        <v>144</v>
      </c>
      <c r="T1483" s="347">
        <v>18</v>
      </c>
      <c r="U1483" s="989"/>
    </row>
    <row r="1484" spans="1:22" s="40" customFormat="1" ht="30" hidden="1">
      <c r="A1484" s="1110"/>
      <c r="B1484" s="296"/>
      <c r="C1484" s="820" t="s">
        <v>667</v>
      </c>
      <c r="D1484" s="560"/>
      <c r="E1484" s="464"/>
      <c r="F1484" s="463"/>
      <c r="G1484" s="560"/>
      <c r="H1484" s="459"/>
      <c r="I1484" s="463"/>
      <c r="J1484" s="340">
        <v>3</v>
      </c>
      <c r="K1484" s="340">
        <v>7</v>
      </c>
      <c r="L1484" s="340">
        <v>5</v>
      </c>
      <c r="M1484" s="340"/>
      <c r="N1484" s="340"/>
      <c r="O1484" s="340"/>
      <c r="P1484" s="461"/>
      <c r="Q1484" s="340"/>
      <c r="R1484" s="462">
        <f>SUM(K1484+L1484)*2*J1484</f>
        <v>72</v>
      </c>
      <c r="S1484" s="434" t="s">
        <v>144</v>
      </c>
      <c r="T1484" s="347">
        <v>18</v>
      </c>
      <c r="U1484" s="989" t="s">
        <v>666</v>
      </c>
    </row>
    <row r="1485" spans="1:22" s="40" customFormat="1" ht="30" hidden="1">
      <c r="A1485" s="1110"/>
      <c r="B1485" s="296"/>
      <c r="C1485" s="820" t="s">
        <v>667</v>
      </c>
      <c r="D1485" s="560">
        <v>9</v>
      </c>
      <c r="E1485" s="464" t="s">
        <v>299</v>
      </c>
      <c r="F1485" s="463">
        <v>16</v>
      </c>
      <c r="G1485" s="560">
        <v>11</v>
      </c>
      <c r="H1485" s="459" t="s">
        <v>299</v>
      </c>
      <c r="I1485" s="463">
        <v>7</v>
      </c>
      <c r="J1485" s="340">
        <v>2</v>
      </c>
      <c r="K1485" s="340">
        <f>SUM(G1485*20+I1485)-(D1485*20+F1485)</f>
        <v>31</v>
      </c>
      <c r="L1485" s="340"/>
      <c r="M1485" s="340"/>
      <c r="N1485" s="340"/>
      <c r="O1485" s="340"/>
      <c r="P1485" s="461"/>
      <c r="Q1485" s="340"/>
      <c r="R1485" s="462">
        <f>K1485*J1485</f>
        <v>62</v>
      </c>
      <c r="S1485" s="434" t="s">
        <v>144</v>
      </c>
      <c r="T1485" s="347">
        <v>19</v>
      </c>
      <c r="U1485" s="989" t="s">
        <v>666</v>
      </c>
    </row>
    <row r="1486" spans="1:22" s="40" customFormat="1" ht="30" hidden="1">
      <c r="A1486" s="1110"/>
      <c r="B1486" s="296"/>
      <c r="C1486" s="820" t="s">
        <v>667</v>
      </c>
      <c r="D1486" s="560">
        <f>G1485</f>
        <v>11</v>
      </c>
      <c r="E1486" s="464" t="s">
        <v>299</v>
      </c>
      <c r="F1486" s="463">
        <f>I1485</f>
        <v>7</v>
      </c>
      <c r="G1486" s="560">
        <v>25</v>
      </c>
      <c r="H1486" s="459" t="s">
        <v>299</v>
      </c>
      <c r="I1486" s="463">
        <v>0</v>
      </c>
      <c r="J1486" s="340">
        <v>2</v>
      </c>
      <c r="K1486" s="340">
        <f>SUM(G1486*20+I1486)-(D1486*20+F1486)</f>
        <v>273</v>
      </c>
      <c r="L1486" s="340"/>
      <c r="M1486" s="340"/>
      <c r="N1486" s="340"/>
      <c r="O1486" s="340"/>
      <c r="P1486" s="461"/>
      <c r="Q1486" s="340"/>
      <c r="R1486" s="462">
        <f>K1486*J1486</f>
        <v>546</v>
      </c>
      <c r="S1486" s="434" t="s">
        <v>144</v>
      </c>
      <c r="T1486" s="347">
        <v>22</v>
      </c>
      <c r="U1486" s="989" t="s">
        <v>666</v>
      </c>
    </row>
    <row r="1487" spans="1:22" s="40" customFormat="1" ht="30" hidden="1">
      <c r="A1487" s="1110"/>
      <c r="B1487" s="1008"/>
      <c r="C1487" s="820" t="s">
        <v>667</v>
      </c>
      <c r="D1487" s="538">
        <f>G1486</f>
        <v>25</v>
      </c>
      <c r="E1487" s="535" t="s">
        <v>299</v>
      </c>
      <c r="F1487" s="534">
        <v>16</v>
      </c>
      <c r="G1487" s="538">
        <v>31</v>
      </c>
      <c r="H1487" s="456" t="s">
        <v>299</v>
      </c>
      <c r="I1487" s="534">
        <v>12</v>
      </c>
      <c r="J1487" s="509">
        <v>2</v>
      </c>
      <c r="K1487" s="509">
        <v>24</v>
      </c>
      <c r="L1487" s="509"/>
      <c r="M1487" s="509"/>
      <c r="N1487" s="509"/>
      <c r="O1487" s="509">
        <f>J1487*K1487</f>
        <v>48</v>
      </c>
      <c r="P1487" s="509">
        <f>8*3.2</f>
        <v>25.6</v>
      </c>
      <c r="Q1487" s="1150">
        <v>715.48</v>
      </c>
      <c r="R1487" s="537">
        <f>O1487+P1487</f>
        <v>73.599999999999994</v>
      </c>
      <c r="S1487" s="558" t="s">
        <v>144</v>
      </c>
      <c r="T1487" s="539">
        <v>23</v>
      </c>
      <c r="U1487" s="989" t="s">
        <v>949</v>
      </c>
      <c r="V1487" s="40" t="s">
        <v>948</v>
      </c>
    </row>
    <row r="1488" spans="1:22" s="40" customFormat="1" ht="30" hidden="1">
      <c r="A1488" s="1110"/>
      <c r="B1488" s="1008"/>
      <c r="C1488" s="820" t="s">
        <v>667</v>
      </c>
      <c r="D1488" s="538"/>
      <c r="E1488" s="535"/>
      <c r="F1488" s="534"/>
      <c r="G1488" s="538"/>
      <c r="H1488" s="456"/>
      <c r="I1488" s="534"/>
      <c r="J1488" s="509"/>
      <c r="K1488" s="509"/>
      <c r="L1488" s="509"/>
      <c r="M1488" s="509"/>
      <c r="N1488" s="509"/>
      <c r="O1488" s="509"/>
      <c r="P1488" s="536"/>
      <c r="Q1488" s="509"/>
      <c r="R1488" s="537">
        <v>60</v>
      </c>
      <c r="S1488" s="558" t="s">
        <v>144</v>
      </c>
      <c r="T1488" s="539">
        <v>23</v>
      </c>
      <c r="U1488" s="989" t="s">
        <v>949</v>
      </c>
      <c r="V1488" s="40" t="s">
        <v>948</v>
      </c>
    </row>
    <row r="1489" spans="1:22" s="40" customFormat="1" ht="30" hidden="1">
      <c r="A1489" s="1110"/>
      <c r="B1489" s="1008"/>
      <c r="C1489" s="820" t="s">
        <v>667</v>
      </c>
      <c r="D1489" s="538">
        <v>27</v>
      </c>
      <c r="E1489" s="535" t="s">
        <v>299</v>
      </c>
      <c r="F1489" s="534">
        <v>0</v>
      </c>
      <c r="G1489" s="538">
        <v>31</v>
      </c>
      <c r="H1489" s="456" t="s">
        <v>299</v>
      </c>
      <c r="I1489" s="534">
        <v>12</v>
      </c>
      <c r="J1489" s="825">
        <f>K1489/6</f>
        <v>15.333333333333334</v>
      </c>
      <c r="K1489" s="509">
        <f>SUM(G1489*20+I1489)-(D1489*20+F1489)</f>
        <v>92</v>
      </c>
      <c r="L1489" s="509"/>
      <c r="M1489" s="509"/>
      <c r="N1489" s="509"/>
      <c r="O1489" s="509"/>
      <c r="P1489" s="509"/>
      <c r="R1489" s="891"/>
      <c r="S1489" s="558" t="s">
        <v>144</v>
      </c>
      <c r="T1489" s="539">
        <v>24</v>
      </c>
      <c r="U1489" s="989" t="s">
        <v>966</v>
      </c>
    </row>
    <row r="1490" spans="1:22" s="40" customFormat="1" ht="30" hidden="1">
      <c r="A1490" s="1110"/>
      <c r="B1490" s="1008"/>
      <c r="C1490" s="820" t="s">
        <v>667</v>
      </c>
      <c r="D1490" s="538">
        <v>25</v>
      </c>
      <c r="E1490" s="535" t="s">
        <v>299</v>
      </c>
      <c r="F1490" s="534">
        <v>16</v>
      </c>
      <c r="G1490" s="538"/>
      <c r="H1490" s="456"/>
      <c r="I1490" s="534"/>
      <c r="J1490" s="509"/>
      <c r="K1490" s="509">
        <v>5</v>
      </c>
      <c r="L1490" s="509">
        <v>5</v>
      </c>
      <c r="M1490" s="509"/>
      <c r="N1490" s="509"/>
      <c r="O1490" s="509"/>
      <c r="P1490" s="536"/>
      <c r="Q1490" s="509"/>
      <c r="R1490" s="891"/>
      <c r="S1490" s="558" t="s">
        <v>144</v>
      </c>
      <c r="T1490" s="539">
        <v>24</v>
      </c>
      <c r="U1490" s="989" t="s">
        <v>963</v>
      </c>
    </row>
    <row r="1491" spans="1:22" s="40" customFormat="1" ht="30" hidden="1">
      <c r="A1491" s="1110"/>
      <c r="B1491" s="1008"/>
      <c r="C1491" s="820" t="s">
        <v>667</v>
      </c>
      <c r="D1491" s="623">
        <f t="shared" ref="D1491:I1491" si="204">D827</f>
        <v>35</v>
      </c>
      <c r="E1491" s="624" t="str">
        <f t="shared" si="204"/>
        <v>+</v>
      </c>
      <c r="F1491" s="625">
        <f t="shared" si="204"/>
        <v>14</v>
      </c>
      <c r="G1491" s="623">
        <f t="shared" si="204"/>
        <v>39</v>
      </c>
      <c r="H1491" s="624" t="str">
        <f t="shared" si="204"/>
        <v>+</v>
      </c>
      <c r="I1491" s="625">
        <f t="shared" si="204"/>
        <v>16</v>
      </c>
      <c r="J1491" s="509">
        <v>2</v>
      </c>
      <c r="K1491" s="340">
        <v>82</v>
      </c>
      <c r="L1491" s="509"/>
      <c r="M1491" s="509"/>
      <c r="N1491" s="509"/>
      <c r="O1491" s="509"/>
      <c r="P1491" s="536"/>
      <c r="Q1491" s="509"/>
      <c r="R1491" s="537">
        <v>164</v>
      </c>
      <c r="S1491" s="558" t="s">
        <v>144</v>
      </c>
      <c r="T1491" s="539">
        <v>25</v>
      </c>
      <c r="U1491" s="989" t="s">
        <v>1027</v>
      </c>
    </row>
    <row r="1492" spans="1:22" s="40" customFormat="1" ht="30" hidden="1">
      <c r="A1492" s="1110"/>
      <c r="B1492" s="1008"/>
      <c r="C1492" s="820" t="s">
        <v>667</v>
      </c>
      <c r="D1492" s="623">
        <v>35</v>
      </c>
      <c r="E1492" s="624" t="s">
        <v>299</v>
      </c>
      <c r="F1492" s="625">
        <v>14</v>
      </c>
      <c r="G1492" s="623">
        <v>39</v>
      </c>
      <c r="H1492" s="624" t="s">
        <v>299</v>
      </c>
      <c r="I1492" s="625">
        <v>16</v>
      </c>
      <c r="J1492" s="509">
        <v>17</v>
      </c>
      <c r="K1492" s="340">
        <v>82</v>
      </c>
      <c r="L1492" s="509">
        <v>4</v>
      </c>
      <c r="M1492" s="509"/>
      <c r="N1492" s="509"/>
      <c r="O1492" s="509"/>
      <c r="P1492" s="536"/>
      <c r="Q1492" s="509"/>
      <c r="R1492" s="537">
        <v>68</v>
      </c>
      <c r="S1492" s="558" t="s">
        <v>144</v>
      </c>
      <c r="T1492" s="539">
        <v>25</v>
      </c>
      <c r="U1492" s="989" t="s">
        <v>1027</v>
      </c>
    </row>
    <row r="1493" spans="1:22" s="40" customFormat="1" ht="30" hidden="1">
      <c r="A1493" s="1110"/>
      <c r="B1493" s="1008"/>
      <c r="C1493" s="820" t="s">
        <v>667</v>
      </c>
      <c r="D1493" s="623">
        <f t="shared" ref="D1493:I1493" si="205">D316</f>
        <v>31</v>
      </c>
      <c r="E1493" s="624" t="str">
        <f t="shared" si="205"/>
        <v>+</v>
      </c>
      <c r="F1493" s="625">
        <f t="shared" si="205"/>
        <v>12</v>
      </c>
      <c r="G1493" s="623">
        <f t="shared" si="205"/>
        <v>35</v>
      </c>
      <c r="H1493" s="624" t="str">
        <f t="shared" si="205"/>
        <v>+</v>
      </c>
      <c r="I1493" s="625">
        <f t="shared" si="205"/>
        <v>14</v>
      </c>
      <c r="J1493" s="509">
        <v>2</v>
      </c>
      <c r="K1493" s="340">
        <f>SUM(G1493*20+I1493)-(D1493*20+F1493)</f>
        <v>82</v>
      </c>
      <c r="L1493" s="509"/>
      <c r="M1493" s="509"/>
      <c r="N1493" s="509"/>
      <c r="O1493" s="509"/>
      <c r="P1493" s="536"/>
      <c r="Q1493" s="509"/>
      <c r="R1493" s="537">
        <f>J1493*K1493</f>
        <v>164</v>
      </c>
      <c r="S1493" s="558" t="s">
        <v>144</v>
      </c>
      <c r="T1493" s="539">
        <v>26</v>
      </c>
      <c r="U1493" s="989" t="s">
        <v>1096</v>
      </c>
    </row>
    <row r="1494" spans="1:22" s="40" customFormat="1" ht="30" hidden="1">
      <c r="A1494" s="1110"/>
      <c r="B1494" s="1008"/>
      <c r="C1494" s="820" t="s">
        <v>667</v>
      </c>
      <c r="D1494" s="821"/>
      <c r="E1494" s="1184"/>
      <c r="F1494" s="823"/>
      <c r="G1494" s="821"/>
      <c r="H1494" s="1184"/>
      <c r="I1494" s="823"/>
      <c r="J1494" s="509">
        <f>17</f>
        <v>17</v>
      </c>
      <c r="K1494" s="340">
        <v>82</v>
      </c>
      <c r="L1494" s="509">
        <v>4</v>
      </c>
      <c r="M1494" s="509"/>
      <c r="N1494" s="509"/>
      <c r="O1494" s="509"/>
      <c r="P1494" s="536"/>
      <c r="Q1494" s="509"/>
      <c r="R1494" s="537">
        <f>J1494*L1494</f>
        <v>68</v>
      </c>
      <c r="S1494" s="558"/>
      <c r="T1494" s="539">
        <v>26</v>
      </c>
      <c r="U1494" s="989" t="s">
        <v>1097</v>
      </c>
    </row>
    <row r="1495" spans="1:22" s="40" customFormat="1" ht="30" hidden="1">
      <c r="A1495" s="1110"/>
      <c r="B1495" s="1008"/>
      <c r="C1495" s="820" t="s">
        <v>667</v>
      </c>
      <c r="D1495" s="623">
        <f t="shared" ref="D1495:I1495" si="206">D317</f>
        <v>39</v>
      </c>
      <c r="E1495" s="624" t="str">
        <f t="shared" si="206"/>
        <v>+</v>
      </c>
      <c r="F1495" s="625">
        <f t="shared" si="206"/>
        <v>16</v>
      </c>
      <c r="G1495" s="623">
        <f t="shared" si="206"/>
        <v>41</v>
      </c>
      <c r="H1495" s="624" t="str">
        <f t="shared" si="206"/>
        <v>+</v>
      </c>
      <c r="I1495" s="625">
        <f t="shared" si="206"/>
        <v>16</v>
      </c>
      <c r="J1495" s="509">
        <v>2</v>
      </c>
      <c r="K1495" s="340">
        <f>SUM(G1495*20+I1495)-(D1495*20+F1495)</f>
        <v>40</v>
      </c>
      <c r="L1495" s="509"/>
      <c r="M1495" s="509"/>
      <c r="N1495" s="509"/>
      <c r="O1495" s="509"/>
      <c r="P1495" s="536"/>
      <c r="Q1495" s="509"/>
      <c r="R1495" s="537">
        <f>J1495*K1495</f>
        <v>80</v>
      </c>
      <c r="S1495" s="558" t="s">
        <v>144</v>
      </c>
      <c r="T1495" s="539">
        <v>26</v>
      </c>
      <c r="U1495" s="989" t="s">
        <v>1027</v>
      </c>
    </row>
    <row r="1496" spans="1:22" s="39" customFormat="1" ht="30" hidden="1">
      <c r="A1496" s="1771"/>
      <c r="B1496" s="1665"/>
      <c r="C1496" s="832" t="s">
        <v>667</v>
      </c>
      <c r="D1496" s="821">
        <v>31</v>
      </c>
      <c r="E1496" s="1184" t="s">
        <v>299</v>
      </c>
      <c r="F1496" s="823">
        <v>12</v>
      </c>
      <c r="G1496" s="821">
        <v>34</v>
      </c>
      <c r="H1496" s="1184" t="s">
        <v>299</v>
      </c>
      <c r="I1496" s="823">
        <v>8</v>
      </c>
      <c r="J1496" s="614">
        <f>K1496/6</f>
        <v>9.3333333333333339</v>
      </c>
      <c r="K1496" s="357">
        <f>SUM(G1496*20+I1496)-(D1496*20+F1496)</f>
        <v>56</v>
      </c>
      <c r="L1496" s="1160">
        <v>3</v>
      </c>
      <c r="M1496" s="1160"/>
      <c r="N1496" s="1160"/>
      <c r="O1496" s="1160"/>
      <c r="P1496" s="1188">
        <f>SUM(3+6+3+6)</f>
        <v>18</v>
      </c>
      <c r="Q1496" s="1160"/>
      <c r="R1496" s="1672">
        <f>P1496*J1496</f>
        <v>168</v>
      </c>
      <c r="S1496" s="614" t="s">
        <v>144</v>
      </c>
      <c r="T1496" s="632">
        <v>27</v>
      </c>
      <c r="U1496" s="1678" t="s">
        <v>1027</v>
      </c>
    </row>
    <row r="1497" spans="1:22" s="164" customFormat="1" hidden="1">
      <c r="A1497" s="1106"/>
      <c r="B1497" s="239"/>
      <c r="C1497" s="1603"/>
      <c r="D1497" s="2730" t="s">
        <v>257</v>
      </c>
      <c r="E1497" s="2731"/>
      <c r="F1497" s="2731"/>
      <c r="G1497" s="2731"/>
      <c r="H1497" s="2731"/>
      <c r="I1497" s="2732"/>
      <c r="J1497" s="2490">
        <f>VLOOKUP(A1499,'11 - FINANCEIRA'!$A$16:$AE$156,30,FALSE)</f>
        <v>3208</v>
      </c>
      <c r="K1497" s="2491"/>
      <c r="L1497" s="309" t="str">
        <f>VLOOKUP(A1499,'11 - FINANCEIRA'!_xlnm.Print_Area,4,FALSE)</f>
        <v>m</v>
      </c>
      <c r="M1497" s="2727" t="s">
        <v>258</v>
      </c>
      <c r="N1497" s="2728"/>
      <c r="O1497" s="2728"/>
      <c r="P1497" s="2728"/>
      <c r="Q1497" s="2729"/>
      <c r="R1497" s="248">
        <f>SUM(R1476:R1496)</f>
        <v>3204.52</v>
      </c>
      <c r="S1497" s="310" t="str">
        <f>L1497</f>
        <v>m</v>
      </c>
      <c r="T1497" s="321"/>
      <c r="U1497" s="322"/>
      <c r="V1497" s="662"/>
    </row>
    <row r="1498" spans="1:22" s="164" customFormat="1" hidden="1">
      <c r="A1498" s="1106"/>
      <c r="B1498" s="246"/>
      <c r="C1498" s="247"/>
      <c r="D1498" s="2478" t="s">
        <v>259</v>
      </c>
      <c r="E1498" s="2479"/>
      <c r="F1498" s="2479"/>
      <c r="G1498" s="2479"/>
      <c r="H1498" s="2479"/>
      <c r="I1498" s="2480"/>
      <c r="J1498" s="2484">
        <f>R1497/J1497</f>
        <v>0.99891521197007482</v>
      </c>
      <c r="K1498" s="2485"/>
      <c r="L1498" s="743"/>
      <c r="M1498" s="2727" t="s">
        <v>260</v>
      </c>
      <c r="N1498" s="2728"/>
      <c r="O1498" s="2728"/>
      <c r="P1498" s="2728"/>
      <c r="Q1498" s="2729"/>
      <c r="R1498" s="248">
        <f>VLOOKUP(A1499,'11 - FINANCEIRA'!_xlnm.Print_Area,8,FALSE)</f>
        <v>3204.52</v>
      </c>
      <c r="S1498" s="249" t="str">
        <f>L1497</f>
        <v>m</v>
      </c>
      <c r="T1498" s="244"/>
      <c r="U1498" s="245"/>
      <c r="V1498" s="662"/>
    </row>
    <row r="1499" spans="1:22" s="164" customFormat="1" hidden="1">
      <c r="A1499" s="1106" t="s">
        <v>433</v>
      </c>
      <c r="B1499" s="250"/>
      <c r="C1499" s="598"/>
      <c r="D1499" s="2481"/>
      <c r="E1499" s="2482"/>
      <c r="F1499" s="2482"/>
      <c r="G1499" s="2482"/>
      <c r="H1499" s="2482"/>
      <c r="I1499" s="2483"/>
      <c r="J1499" s="2486"/>
      <c r="K1499" s="2487"/>
      <c r="L1499" s="751"/>
      <c r="M1499" s="2727" t="s">
        <v>261</v>
      </c>
      <c r="N1499" s="2728"/>
      <c r="O1499" s="2728"/>
      <c r="P1499" s="2728"/>
      <c r="Q1499" s="2729"/>
      <c r="R1499" s="248">
        <f>R1497-R1498</f>
        <v>0</v>
      </c>
      <c r="S1499" s="249" t="str">
        <f>L1497</f>
        <v>m</v>
      </c>
      <c r="T1499" s="562"/>
      <c r="U1499" s="563"/>
      <c r="V1499" s="662"/>
    </row>
    <row r="1500" spans="1:22" s="164" customFormat="1" hidden="1">
      <c r="A1500" s="1770"/>
      <c r="B1500" s="660"/>
      <c r="D1500" s="661"/>
      <c r="E1500" s="662"/>
      <c r="F1500" s="663"/>
      <c r="G1500" s="661"/>
      <c r="I1500" s="663"/>
      <c r="K1500" s="664"/>
      <c r="L1500" s="664"/>
      <c r="N1500" s="511"/>
      <c r="O1500" s="662"/>
      <c r="Q1500" s="665"/>
      <c r="R1500" s="666"/>
      <c r="S1500" s="667"/>
      <c r="U1500" s="662"/>
      <c r="V1500" s="662"/>
    </row>
    <row r="1501" spans="1:22" s="164" customFormat="1" ht="31.5" hidden="1">
      <c r="A1501" s="1106"/>
      <c r="B1501" s="717" t="str">
        <f>VLOOKUP(A1529,'11 - FINANCEIRA'!_xlnm.Print_Area,2,FALSE)</f>
        <v>CPU01</v>
      </c>
      <c r="C1501" s="785" t="str">
        <f>VLOOKUP(A1529,'11 - FINANCEIRA'!_xlnm.Print_Area,3,FALSE)</f>
        <v>Posto de vigilância noturna, feriados e fins de semana</v>
      </c>
      <c r="D1501" s="2472" t="s">
        <v>242</v>
      </c>
      <c r="E1501" s="2473"/>
      <c r="F1501" s="2473"/>
      <c r="G1501" s="2473"/>
      <c r="H1501" s="2473"/>
      <c r="I1501" s="2474"/>
      <c r="J1501" s="733" t="s">
        <v>373</v>
      </c>
      <c r="K1501" s="733" t="s">
        <v>244</v>
      </c>
      <c r="L1501" s="733" t="s">
        <v>245</v>
      </c>
      <c r="M1501" s="733" t="s">
        <v>246</v>
      </c>
      <c r="N1501" s="733" t="s">
        <v>247</v>
      </c>
      <c r="O1501" s="733" t="s">
        <v>248</v>
      </c>
      <c r="P1501" s="173" t="s">
        <v>249</v>
      </c>
      <c r="Q1501" s="716" t="s">
        <v>250</v>
      </c>
      <c r="R1501" s="734" t="s">
        <v>139</v>
      </c>
      <c r="S1501" s="733" t="s">
        <v>251</v>
      </c>
      <c r="T1501" s="733" t="s">
        <v>252</v>
      </c>
      <c r="U1501" s="735" t="s">
        <v>253</v>
      </c>
      <c r="V1501" s="662"/>
    </row>
    <row r="1502" spans="1:22" s="164" customFormat="1" hidden="1">
      <c r="A1502" s="1106"/>
      <c r="B1502" s="718"/>
      <c r="C1502" s="736"/>
      <c r="D1502" s="2475" t="s">
        <v>254</v>
      </c>
      <c r="E1502" s="2476"/>
      <c r="F1502" s="2477"/>
      <c r="G1502" s="2469" t="s">
        <v>255</v>
      </c>
      <c r="H1502" s="2470"/>
      <c r="I1502" s="2471"/>
      <c r="J1502" s="740"/>
      <c r="K1502" s="740"/>
      <c r="L1502" s="740"/>
      <c r="M1502" s="740"/>
      <c r="N1502" s="740"/>
      <c r="O1502" s="740"/>
      <c r="P1502" s="177" t="s">
        <v>256</v>
      </c>
      <c r="Q1502" s="740"/>
      <c r="R1502" s="741"/>
      <c r="S1502" s="740"/>
      <c r="T1502" s="740"/>
      <c r="U1502" s="742"/>
      <c r="V1502" s="662"/>
    </row>
    <row r="1503" spans="1:22" hidden="1">
      <c r="A1503" s="1110"/>
      <c r="B1503" s="296"/>
      <c r="C1503" s="840">
        <v>44805</v>
      </c>
      <c r="D1503" s="618"/>
      <c r="E1503" s="714"/>
      <c r="F1503" s="566"/>
      <c r="G1503" s="300"/>
      <c r="H1503" s="301"/>
      <c r="I1503" s="302"/>
      <c r="J1503" s="357">
        <v>1</v>
      </c>
      <c r="K1503" s="618"/>
      <c r="L1503" s="357"/>
      <c r="M1503" s="566"/>
      <c r="N1503" s="714"/>
      <c r="O1503" s="618"/>
      <c r="P1503" s="619"/>
      <c r="Q1503" s="566"/>
      <c r="R1503" s="357">
        <f>J1503</f>
        <v>1</v>
      </c>
      <c r="S1503" s="357"/>
      <c r="T1503" s="355">
        <v>12</v>
      </c>
      <c r="U1503" s="341"/>
      <c r="V1503" s="842"/>
    </row>
    <row r="1504" spans="1:22" hidden="1">
      <c r="A1504" s="1110"/>
      <c r="B1504" s="296"/>
      <c r="C1504" s="840">
        <v>44835</v>
      </c>
      <c r="D1504" s="618"/>
      <c r="E1504" s="714"/>
      <c r="F1504" s="566"/>
      <c r="G1504" s="300"/>
      <c r="H1504" s="301"/>
      <c r="I1504" s="302"/>
      <c r="J1504" s="357">
        <v>1</v>
      </c>
      <c r="K1504" s="618"/>
      <c r="L1504" s="357"/>
      <c r="M1504" s="566"/>
      <c r="N1504" s="714"/>
      <c r="O1504" s="618"/>
      <c r="P1504" s="619"/>
      <c r="Q1504" s="566"/>
      <c r="R1504" s="357">
        <f t="shared" ref="R1504:R1514" si="207">J1504</f>
        <v>1</v>
      </c>
      <c r="S1504" s="357"/>
      <c r="T1504" s="355">
        <v>12</v>
      </c>
      <c r="U1504" s="341"/>
      <c r="V1504" s="842"/>
    </row>
    <row r="1505" spans="1:22" hidden="1">
      <c r="A1505" s="1110"/>
      <c r="B1505" s="296"/>
      <c r="C1505" s="840">
        <v>44866</v>
      </c>
      <c r="D1505" s="618"/>
      <c r="E1505" s="714"/>
      <c r="F1505" s="566"/>
      <c r="G1505" s="300"/>
      <c r="H1505" s="301"/>
      <c r="I1505" s="302"/>
      <c r="J1505" s="357">
        <v>1</v>
      </c>
      <c r="K1505" s="618"/>
      <c r="L1505" s="357"/>
      <c r="M1505" s="566"/>
      <c r="N1505" s="714"/>
      <c r="O1505" s="618"/>
      <c r="P1505" s="619"/>
      <c r="Q1505" s="566"/>
      <c r="R1505" s="357">
        <f t="shared" si="207"/>
        <v>1</v>
      </c>
      <c r="S1505" s="357"/>
      <c r="T1505" s="355">
        <v>12</v>
      </c>
      <c r="U1505" s="341"/>
      <c r="V1505" s="842"/>
    </row>
    <row r="1506" spans="1:22" hidden="1">
      <c r="A1506" s="1110"/>
      <c r="B1506" s="296"/>
      <c r="C1506" s="840">
        <v>44896</v>
      </c>
      <c r="D1506" s="618"/>
      <c r="E1506" s="714"/>
      <c r="F1506" s="566"/>
      <c r="G1506" s="300"/>
      <c r="H1506" s="301"/>
      <c r="I1506" s="302"/>
      <c r="J1506" s="357">
        <v>1</v>
      </c>
      <c r="K1506" s="618"/>
      <c r="L1506" s="357"/>
      <c r="M1506" s="566"/>
      <c r="N1506" s="714"/>
      <c r="O1506" s="618"/>
      <c r="P1506" s="619"/>
      <c r="Q1506" s="566"/>
      <c r="R1506" s="357">
        <f t="shared" si="207"/>
        <v>1</v>
      </c>
      <c r="S1506" s="357"/>
      <c r="T1506" s="355">
        <v>12</v>
      </c>
      <c r="U1506" s="341"/>
      <c r="V1506" s="842"/>
    </row>
    <row r="1507" spans="1:22" hidden="1">
      <c r="A1507" s="1110"/>
      <c r="B1507" s="296"/>
      <c r="C1507" s="840">
        <v>44927</v>
      </c>
      <c r="D1507" s="618"/>
      <c r="E1507" s="714"/>
      <c r="F1507" s="566"/>
      <c r="G1507" s="300"/>
      <c r="H1507" s="301"/>
      <c r="I1507" s="302"/>
      <c r="J1507" s="357">
        <v>1</v>
      </c>
      <c r="K1507" s="618"/>
      <c r="L1507" s="357"/>
      <c r="M1507" s="566"/>
      <c r="N1507" s="714"/>
      <c r="O1507" s="618"/>
      <c r="P1507" s="619"/>
      <c r="Q1507" s="566"/>
      <c r="R1507" s="357">
        <f t="shared" si="207"/>
        <v>1</v>
      </c>
      <c r="S1507" s="357"/>
      <c r="T1507" s="355">
        <v>12</v>
      </c>
      <c r="U1507" s="341"/>
      <c r="V1507" s="842"/>
    </row>
    <row r="1508" spans="1:22" hidden="1">
      <c r="A1508" s="1110"/>
      <c r="B1508" s="296"/>
      <c r="C1508" s="840">
        <v>44958</v>
      </c>
      <c r="D1508" s="618"/>
      <c r="E1508" s="714"/>
      <c r="F1508" s="566"/>
      <c r="G1508" s="300"/>
      <c r="H1508" s="301"/>
      <c r="I1508" s="302"/>
      <c r="J1508" s="357">
        <v>1</v>
      </c>
      <c r="K1508" s="618"/>
      <c r="L1508" s="357"/>
      <c r="M1508" s="566"/>
      <c r="N1508" s="714"/>
      <c r="O1508" s="618"/>
      <c r="P1508" s="619"/>
      <c r="Q1508" s="566"/>
      <c r="R1508" s="357">
        <f t="shared" si="207"/>
        <v>1</v>
      </c>
      <c r="S1508" s="357"/>
      <c r="T1508" s="355">
        <v>12</v>
      </c>
      <c r="U1508" s="341"/>
      <c r="V1508" s="842"/>
    </row>
    <row r="1509" spans="1:22" hidden="1">
      <c r="A1509" s="1110"/>
      <c r="B1509" s="296"/>
      <c r="C1509" s="840">
        <v>44986</v>
      </c>
      <c r="D1509" s="618"/>
      <c r="E1509" s="714"/>
      <c r="F1509" s="566"/>
      <c r="G1509" s="300"/>
      <c r="H1509" s="301"/>
      <c r="I1509" s="302"/>
      <c r="J1509" s="357">
        <v>1</v>
      </c>
      <c r="K1509" s="618"/>
      <c r="L1509" s="357"/>
      <c r="M1509" s="566"/>
      <c r="N1509" s="714"/>
      <c r="O1509" s="618"/>
      <c r="P1509" s="619"/>
      <c r="Q1509" s="566"/>
      <c r="R1509" s="357">
        <f t="shared" si="207"/>
        <v>1</v>
      </c>
      <c r="S1509" s="357"/>
      <c r="T1509" s="355">
        <v>12</v>
      </c>
      <c r="U1509" s="341"/>
      <c r="V1509" s="842"/>
    </row>
    <row r="1510" spans="1:22" hidden="1">
      <c r="A1510" s="1110"/>
      <c r="B1510" s="296"/>
      <c r="C1510" s="840">
        <v>45017</v>
      </c>
      <c r="D1510" s="618"/>
      <c r="E1510" s="714"/>
      <c r="F1510" s="566"/>
      <c r="G1510" s="300"/>
      <c r="H1510" s="301"/>
      <c r="I1510" s="302"/>
      <c r="J1510" s="357">
        <v>1</v>
      </c>
      <c r="K1510" s="618"/>
      <c r="L1510" s="357"/>
      <c r="M1510" s="566"/>
      <c r="N1510" s="714"/>
      <c r="O1510" s="618"/>
      <c r="P1510" s="619"/>
      <c r="Q1510" s="566"/>
      <c r="R1510" s="357">
        <f t="shared" si="207"/>
        <v>1</v>
      </c>
      <c r="S1510" s="357"/>
      <c r="T1510" s="355">
        <v>12</v>
      </c>
      <c r="U1510" s="341"/>
      <c r="V1510" s="842"/>
    </row>
    <row r="1511" spans="1:22" hidden="1">
      <c r="A1511" s="1110"/>
      <c r="B1511" s="296"/>
      <c r="C1511" s="840">
        <v>45047</v>
      </c>
      <c r="D1511" s="618"/>
      <c r="E1511" s="714"/>
      <c r="F1511" s="566"/>
      <c r="G1511" s="300"/>
      <c r="H1511" s="301"/>
      <c r="I1511" s="302"/>
      <c r="J1511" s="357">
        <v>1</v>
      </c>
      <c r="K1511" s="618"/>
      <c r="L1511" s="357"/>
      <c r="M1511" s="566"/>
      <c r="N1511" s="714"/>
      <c r="O1511" s="618"/>
      <c r="P1511" s="619"/>
      <c r="Q1511" s="566"/>
      <c r="R1511" s="357">
        <f t="shared" si="207"/>
        <v>1</v>
      </c>
      <c r="S1511" s="357"/>
      <c r="T1511" s="355">
        <v>12</v>
      </c>
      <c r="U1511" s="341"/>
      <c r="V1511" s="842"/>
    </row>
    <row r="1512" spans="1:22" hidden="1">
      <c r="A1512" s="1110"/>
      <c r="B1512" s="296"/>
      <c r="C1512" s="840">
        <v>45078</v>
      </c>
      <c r="D1512" s="618"/>
      <c r="E1512" s="714"/>
      <c r="F1512" s="566"/>
      <c r="G1512" s="300"/>
      <c r="H1512" s="301"/>
      <c r="I1512" s="302"/>
      <c r="J1512" s="357">
        <v>1</v>
      </c>
      <c r="K1512" s="618"/>
      <c r="L1512" s="357"/>
      <c r="M1512" s="566"/>
      <c r="N1512" s="714"/>
      <c r="O1512" s="618"/>
      <c r="P1512" s="619"/>
      <c r="Q1512" s="566"/>
      <c r="R1512" s="357">
        <f t="shared" si="207"/>
        <v>1</v>
      </c>
      <c r="S1512" s="357"/>
      <c r="T1512" s="355">
        <v>12</v>
      </c>
      <c r="U1512" s="341"/>
      <c r="V1512" s="842"/>
    </row>
    <row r="1513" spans="1:22" hidden="1">
      <c r="A1513" s="1110"/>
      <c r="B1513" s="342"/>
      <c r="C1513" s="841">
        <v>45108</v>
      </c>
      <c r="D1513" s="499"/>
      <c r="E1513" s="497"/>
      <c r="F1513" s="500"/>
      <c r="G1513" s="499"/>
      <c r="H1513" s="497"/>
      <c r="I1513" s="500"/>
      <c r="J1513" s="340">
        <v>1</v>
      </c>
      <c r="K1513" s="344"/>
      <c r="L1513" s="344"/>
      <c r="M1513" s="344"/>
      <c r="N1513" s="344"/>
      <c r="O1513" s="345"/>
      <c r="P1513" s="344"/>
      <c r="Q1513" s="345"/>
      <c r="R1513" s="357">
        <f t="shared" si="207"/>
        <v>1</v>
      </c>
      <c r="S1513" s="357"/>
      <c r="T1513" s="355">
        <v>12</v>
      </c>
      <c r="U1513" s="393"/>
      <c r="V1513" s="842"/>
    </row>
    <row r="1514" spans="1:22" hidden="1">
      <c r="A1514" s="1110"/>
      <c r="B1514" s="342"/>
      <c r="C1514" s="841">
        <v>45139</v>
      </c>
      <c r="D1514" s="501"/>
      <c r="E1514" s="502"/>
      <c r="F1514" s="503"/>
      <c r="G1514" s="501"/>
      <c r="H1514" s="502"/>
      <c r="I1514" s="503"/>
      <c r="J1514" s="357">
        <v>1</v>
      </c>
      <c r="K1514" s="349"/>
      <c r="L1514" s="350"/>
      <c r="M1514" s="351"/>
      <c r="N1514" s="352"/>
      <c r="O1514" s="353"/>
      <c r="P1514" s="350"/>
      <c r="Q1514" s="354"/>
      <c r="R1514" s="357">
        <f t="shared" si="207"/>
        <v>1</v>
      </c>
      <c r="S1514" s="357"/>
      <c r="T1514" s="355">
        <v>12</v>
      </c>
      <c r="U1514" s="393"/>
      <c r="V1514" s="842"/>
    </row>
    <row r="1515" spans="1:22" hidden="1">
      <c r="A1515" s="1110"/>
      <c r="B1515" s="342"/>
      <c r="C1515" s="841">
        <v>45170</v>
      </c>
      <c r="D1515" s="501"/>
      <c r="E1515" s="502"/>
      <c r="F1515" s="503"/>
      <c r="G1515" s="501"/>
      <c r="H1515" s="502"/>
      <c r="I1515" s="503"/>
      <c r="J1515" s="357">
        <v>1</v>
      </c>
      <c r="K1515" s="349"/>
      <c r="L1515" s="350"/>
      <c r="M1515" s="351"/>
      <c r="N1515" s="352"/>
      <c r="O1515" s="353"/>
      <c r="P1515" s="350"/>
      <c r="Q1515" s="354"/>
      <c r="R1515" s="357">
        <f t="shared" ref="R1515:R1520" si="208">J1515</f>
        <v>1</v>
      </c>
      <c r="S1515" s="357"/>
      <c r="T1515" s="355">
        <v>22</v>
      </c>
      <c r="U1515" s="393"/>
      <c r="V1515" s="842"/>
    </row>
    <row r="1516" spans="1:22" hidden="1">
      <c r="A1516" s="1110"/>
      <c r="B1516" s="342"/>
      <c r="C1516" s="841">
        <v>45200</v>
      </c>
      <c r="D1516" s="501"/>
      <c r="E1516" s="502"/>
      <c r="F1516" s="503"/>
      <c r="G1516" s="501"/>
      <c r="H1516" s="502"/>
      <c r="I1516" s="503"/>
      <c r="J1516" s="357">
        <v>1</v>
      </c>
      <c r="K1516" s="349"/>
      <c r="L1516" s="350"/>
      <c r="M1516" s="351"/>
      <c r="N1516" s="352"/>
      <c r="O1516" s="353"/>
      <c r="P1516" s="350"/>
      <c r="Q1516" s="354"/>
      <c r="R1516" s="357">
        <f t="shared" si="208"/>
        <v>1</v>
      </c>
      <c r="S1516" s="357"/>
      <c r="T1516" s="355">
        <v>22</v>
      </c>
      <c r="U1516" s="393"/>
      <c r="V1516" s="842"/>
    </row>
    <row r="1517" spans="1:22" hidden="1">
      <c r="A1517" s="1110"/>
      <c r="B1517" s="342"/>
      <c r="C1517" s="841">
        <v>45231</v>
      </c>
      <c r="D1517" s="501"/>
      <c r="E1517" s="502"/>
      <c r="F1517" s="503"/>
      <c r="G1517" s="501"/>
      <c r="H1517" s="502"/>
      <c r="I1517" s="503"/>
      <c r="J1517" s="357">
        <v>1</v>
      </c>
      <c r="K1517" s="349"/>
      <c r="L1517" s="350"/>
      <c r="M1517" s="351"/>
      <c r="N1517" s="352"/>
      <c r="O1517" s="353"/>
      <c r="P1517" s="350"/>
      <c r="Q1517" s="354"/>
      <c r="R1517" s="357">
        <f t="shared" si="208"/>
        <v>1</v>
      </c>
      <c r="S1517" s="357"/>
      <c r="T1517" s="355">
        <v>22</v>
      </c>
      <c r="U1517" s="393"/>
      <c r="V1517" s="842"/>
    </row>
    <row r="1518" spans="1:22" hidden="1">
      <c r="A1518" s="1110"/>
      <c r="B1518" s="342"/>
      <c r="C1518" s="841">
        <v>45261</v>
      </c>
      <c r="D1518" s="501"/>
      <c r="E1518" s="502"/>
      <c r="F1518" s="503"/>
      <c r="G1518" s="501"/>
      <c r="H1518" s="502"/>
      <c r="I1518" s="503"/>
      <c r="J1518" s="357">
        <v>1</v>
      </c>
      <c r="K1518" s="349"/>
      <c r="L1518" s="350"/>
      <c r="M1518" s="351"/>
      <c r="N1518" s="352"/>
      <c r="O1518" s="353"/>
      <c r="P1518" s="350"/>
      <c r="Q1518" s="354"/>
      <c r="R1518" s="357">
        <f t="shared" si="208"/>
        <v>1</v>
      </c>
      <c r="S1518" s="357"/>
      <c r="T1518" s="355">
        <v>22</v>
      </c>
      <c r="U1518" s="393"/>
      <c r="V1518" s="842"/>
    </row>
    <row r="1519" spans="1:22" hidden="1">
      <c r="A1519" s="1110"/>
      <c r="B1519" s="342"/>
      <c r="C1519" s="841">
        <v>45292</v>
      </c>
      <c r="D1519" s="501"/>
      <c r="E1519" s="502"/>
      <c r="F1519" s="503"/>
      <c r="G1519" s="501"/>
      <c r="H1519" s="502"/>
      <c r="I1519" s="503"/>
      <c r="J1519" s="357">
        <v>1</v>
      </c>
      <c r="K1519" s="349"/>
      <c r="L1519" s="350"/>
      <c r="M1519" s="351"/>
      <c r="N1519" s="352"/>
      <c r="O1519" s="353"/>
      <c r="P1519" s="350"/>
      <c r="Q1519" s="354"/>
      <c r="R1519" s="357">
        <f t="shared" si="208"/>
        <v>1</v>
      </c>
      <c r="S1519" s="357"/>
      <c r="T1519" s="355">
        <v>22</v>
      </c>
      <c r="U1519" s="393"/>
      <c r="V1519" s="842"/>
    </row>
    <row r="1520" spans="1:22" hidden="1">
      <c r="A1520" s="1110"/>
      <c r="B1520" s="342"/>
      <c r="C1520" s="841">
        <v>45323</v>
      </c>
      <c r="D1520" s="501"/>
      <c r="E1520" s="502"/>
      <c r="F1520" s="503"/>
      <c r="G1520" s="501"/>
      <c r="H1520" s="502"/>
      <c r="I1520" s="503"/>
      <c r="J1520" s="357">
        <v>1</v>
      </c>
      <c r="K1520" s="349"/>
      <c r="L1520" s="350"/>
      <c r="M1520" s="351"/>
      <c r="N1520" s="352"/>
      <c r="O1520" s="353"/>
      <c r="P1520" s="350"/>
      <c r="Q1520" s="354"/>
      <c r="R1520" s="340">
        <f t="shared" si="208"/>
        <v>1</v>
      </c>
      <c r="S1520" s="340"/>
      <c r="T1520" s="355">
        <v>22</v>
      </c>
      <c r="U1520" s="408"/>
      <c r="V1520" s="842"/>
    </row>
    <row r="1521" spans="1:22" hidden="1">
      <c r="A1521" s="1110"/>
      <c r="B1521" s="342"/>
      <c r="C1521" s="841">
        <v>45352</v>
      </c>
      <c r="D1521" s="501"/>
      <c r="E1521" s="502"/>
      <c r="F1521" s="503"/>
      <c r="G1521" s="501"/>
      <c r="H1521" s="502"/>
      <c r="I1521" s="503"/>
      <c r="J1521" s="357">
        <v>1</v>
      </c>
      <c r="K1521" s="349"/>
      <c r="L1521" s="350"/>
      <c r="M1521" s="351"/>
      <c r="N1521" s="352"/>
      <c r="O1521" s="353"/>
      <c r="P1521" s="350"/>
      <c r="Q1521" s="354"/>
      <c r="R1521" s="340">
        <f t="shared" ref="R1521:R1522" si="209">J1521</f>
        <v>1</v>
      </c>
      <c r="S1521" s="340"/>
      <c r="T1521" s="355">
        <v>25</v>
      </c>
      <c r="U1521" s="759"/>
      <c r="V1521" s="842"/>
    </row>
    <row r="1522" spans="1:22" hidden="1">
      <c r="A1522" s="1110"/>
      <c r="B1522" s="342"/>
      <c r="C1522" s="841">
        <v>45383</v>
      </c>
      <c r="D1522" s="501"/>
      <c r="E1522" s="502"/>
      <c r="F1522" s="503"/>
      <c r="G1522" s="501"/>
      <c r="H1522" s="502"/>
      <c r="I1522" s="503"/>
      <c r="J1522" s="357">
        <v>1</v>
      </c>
      <c r="K1522" s="349"/>
      <c r="L1522" s="350"/>
      <c r="M1522" s="351"/>
      <c r="N1522" s="352"/>
      <c r="O1522" s="353"/>
      <c r="P1522" s="350"/>
      <c r="Q1522" s="354"/>
      <c r="R1522" s="340">
        <f t="shared" si="209"/>
        <v>1</v>
      </c>
      <c r="S1522" s="340"/>
      <c r="T1522" s="355">
        <v>25</v>
      </c>
      <c r="U1522" s="759"/>
      <c r="V1522" s="842"/>
    </row>
    <row r="1523" spans="1:22" hidden="1">
      <c r="A1523" s="1110"/>
      <c r="B1523" s="342"/>
      <c r="C1523" s="841">
        <v>45413</v>
      </c>
      <c r="D1523" s="501"/>
      <c r="E1523" s="502"/>
      <c r="F1523" s="503"/>
      <c r="G1523" s="501"/>
      <c r="H1523" s="502"/>
      <c r="I1523" s="503"/>
      <c r="J1523" s="357">
        <v>1</v>
      </c>
      <c r="K1523" s="349"/>
      <c r="L1523" s="350"/>
      <c r="M1523" s="351"/>
      <c r="N1523" s="352"/>
      <c r="O1523" s="353"/>
      <c r="P1523" s="350"/>
      <c r="Q1523" s="354"/>
      <c r="R1523" s="340">
        <f t="shared" ref="R1523:R1526" si="210">J1523</f>
        <v>1</v>
      </c>
      <c r="S1523" s="340"/>
      <c r="T1523" s="355">
        <v>25</v>
      </c>
      <c r="U1523" s="759"/>
      <c r="V1523" s="842"/>
    </row>
    <row r="1524" spans="1:22" hidden="1">
      <c r="A1524" s="1110"/>
      <c r="B1524" s="342"/>
      <c r="C1524" s="841">
        <v>45444</v>
      </c>
      <c r="D1524" s="501"/>
      <c r="E1524" s="502"/>
      <c r="F1524" s="503"/>
      <c r="G1524" s="501"/>
      <c r="H1524" s="502"/>
      <c r="I1524" s="503"/>
      <c r="J1524" s="357">
        <v>1</v>
      </c>
      <c r="K1524" s="349"/>
      <c r="L1524" s="350"/>
      <c r="M1524" s="351"/>
      <c r="N1524" s="352"/>
      <c r="O1524" s="353"/>
      <c r="P1524" s="350"/>
      <c r="Q1524" s="354"/>
      <c r="R1524" s="340">
        <f t="shared" si="210"/>
        <v>1</v>
      </c>
      <c r="S1524" s="340"/>
      <c r="T1524" s="355">
        <v>25</v>
      </c>
      <c r="U1524" s="759"/>
      <c r="V1524" s="842"/>
    </row>
    <row r="1525" spans="1:22" hidden="1">
      <c r="A1525" s="1110"/>
      <c r="B1525" s="342"/>
      <c r="C1525" s="841">
        <v>45474</v>
      </c>
      <c r="D1525" s="501"/>
      <c r="E1525" s="502"/>
      <c r="F1525" s="503"/>
      <c r="G1525" s="501"/>
      <c r="H1525" s="502"/>
      <c r="I1525" s="503"/>
      <c r="J1525" s="357">
        <v>1</v>
      </c>
      <c r="K1525" s="349"/>
      <c r="L1525" s="350"/>
      <c r="M1525" s="351"/>
      <c r="N1525" s="352"/>
      <c r="O1525" s="353"/>
      <c r="P1525" s="350"/>
      <c r="Q1525" s="354"/>
      <c r="R1525" s="340">
        <f t="shared" si="210"/>
        <v>1</v>
      </c>
      <c r="S1525" s="340"/>
      <c r="T1525" s="355">
        <v>25</v>
      </c>
      <c r="U1525" s="759"/>
      <c r="V1525" s="842"/>
    </row>
    <row r="1526" spans="1:22" hidden="1">
      <c r="A1526" s="1110"/>
      <c r="B1526" s="1369"/>
      <c r="C1526" s="1679">
        <v>45505</v>
      </c>
      <c r="D1526" s="501"/>
      <c r="E1526" s="502"/>
      <c r="F1526" s="503"/>
      <c r="G1526" s="501"/>
      <c r="H1526" s="502"/>
      <c r="I1526" s="503"/>
      <c r="J1526" s="357">
        <v>1</v>
      </c>
      <c r="K1526" s="349"/>
      <c r="L1526" s="350"/>
      <c r="M1526" s="351"/>
      <c r="N1526" s="352"/>
      <c r="O1526" s="353"/>
      <c r="P1526" s="350"/>
      <c r="Q1526" s="354"/>
      <c r="R1526" s="357">
        <f t="shared" si="210"/>
        <v>1</v>
      </c>
      <c r="S1526" s="357"/>
      <c r="T1526" s="355">
        <v>25</v>
      </c>
      <c r="U1526" s="1664"/>
      <c r="V1526" s="842"/>
    </row>
    <row r="1527" spans="1:22" s="164" customFormat="1" hidden="1">
      <c r="A1527" s="1106"/>
      <c r="B1527" s="239"/>
      <c r="C1527" s="1603"/>
      <c r="D1527" s="2730" t="s">
        <v>257</v>
      </c>
      <c r="E1527" s="2731"/>
      <c r="F1527" s="2731"/>
      <c r="G1527" s="2731"/>
      <c r="H1527" s="2731"/>
      <c r="I1527" s="2732"/>
      <c r="J1527" s="2490">
        <f>VLOOKUP(A1529,'11 - FINANCEIRA'!$A$16:$AE$156,30,FALSE)</f>
        <v>24</v>
      </c>
      <c r="K1527" s="2491"/>
      <c r="L1527" s="309" t="str">
        <f>VLOOKUP(A1529,'11 - FINANCEIRA'!_xlnm.Print_Area,4,FALSE)</f>
        <v>UNID</v>
      </c>
      <c r="M1527" s="2727" t="s">
        <v>258</v>
      </c>
      <c r="N1527" s="2728"/>
      <c r="O1527" s="2728"/>
      <c r="P1527" s="2728"/>
      <c r="Q1527" s="2729"/>
      <c r="R1527" s="248">
        <f>SUM(R1503:R1526)</f>
        <v>24</v>
      </c>
      <c r="S1527" s="310" t="str">
        <f>L1527</f>
        <v>UNID</v>
      </c>
      <c r="T1527" s="321"/>
      <c r="U1527" s="322"/>
      <c r="V1527" s="662"/>
    </row>
    <row r="1528" spans="1:22" s="164" customFormat="1" hidden="1">
      <c r="A1528" s="1106"/>
      <c r="B1528" s="246"/>
      <c r="C1528" s="247"/>
      <c r="D1528" s="2478" t="s">
        <v>259</v>
      </c>
      <c r="E1528" s="2479"/>
      <c r="F1528" s="2479"/>
      <c r="G1528" s="2479"/>
      <c r="H1528" s="2479"/>
      <c r="I1528" s="2480"/>
      <c r="J1528" s="2484">
        <f>R1527/J1527</f>
        <v>1</v>
      </c>
      <c r="K1528" s="2485"/>
      <c r="L1528" s="743"/>
      <c r="M1528" s="2727" t="s">
        <v>260</v>
      </c>
      <c r="N1528" s="2728"/>
      <c r="O1528" s="2728"/>
      <c r="P1528" s="2728"/>
      <c r="Q1528" s="2729"/>
      <c r="R1528" s="248">
        <f>VLOOKUP(A1529,'11 - FINANCEIRA'!_xlnm.Print_Area,8,FALSE)</f>
        <v>24</v>
      </c>
      <c r="S1528" s="249" t="str">
        <f>L1527</f>
        <v>UNID</v>
      </c>
      <c r="T1528" s="244"/>
      <c r="U1528" s="245"/>
      <c r="V1528" s="662"/>
    </row>
    <row r="1529" spans="1:22" s="164" customFormat="1" hidden="1">
      <c r="A1529" s="1106" t="s">
        <v>434</v>
      </c>
      <c r="B1529" s="250"/>
      <c r="C1529" s="598"/>
      <c r="D1529" s="2481"/>
      <c r="E1529" s="2482"/>
      <c r="F1529" s="2482"/>
      <c r="G1529" s="2482"/>
      <c r="H1529" s="2482"/>
      <c r="I1529" s="2483"/>
      <c r="J1529" s="2486"/>
      <c r="K1529" s="2487"/>
      <c r="L1529" s="751"/>
      <c r="M1529" s="2727" t="s">
        <v>261</v>
      </c>
      <c r="N1529" s="2728"/>
      <c r="O1529" s="2728"/>
      <c r="P1529" s="2728"/>
      <c r="Q1529" s="2729"/>
      <c r="R1529" s="248">
        <f>R1527-R1528</f>
        <v>0</v>
      </c>
      <c r="S1529" s="249" t="str">
        <f>L1527</f>
        <v>UNID</v>
      </c>
      <c r="T1529" s="562"/>
      <c r="U1529" s="563"/>
      <c r="V1529" s="662"/>
    </row>
    <row r="1530" spans="1:22" s="164" customFormat="1" hidden="1">
      <c r="A1530" s="1770"/>
      <c r="B1530" s="660"/>
      <c r="D1530" s="661"/>
      <c r="E1530" s="662"/>
      <c r="F1530" s="663"/>
      <c r="G1530" s="661"/>
      <c r="I1530" s="663"/>
      <c r="K1530" s="664"/>
      <c r="L1530" s="664"/>
      <c r="N1530" s="511"/>
      <c r="O1530" s="662"/>
      <c r="Q1530" s="665"/>
      <c r="R1530" s="666"/>
      <c r="S1530" s="667"/>
      <c r="U1530" s="662"/>
      <c r="V1530" s="662"/>
    </row>
    <row r="1531" spans="1:22" s="164" customFormat="1" ht="31.5">
      <c r="A1531" s="1106"/>
      <c r="B1531" s="717" t="str">
        <f>VLOOKUP(A1556,'11 - FINANCEIRA'!_xlnm.Print_Area,2,FALSE)</f>
        <v>93585 sinap</v>
      </c>
      <c r="C1531" s="2465" t="str">
        <f>VLOOKUP(A1556,'11 - FINANCEIRA'!_xlnm.Print_Area,3,FALSE)</f>
        <v>Execução de Guarita em Canteiro de Obra em chapa de Madeira compensada</v>
      </c>
      <c r="D1531" s="2472" t="s">
        <v>242</v>
      </c>
      <c r="E1531" s="2473"/>
      <c r="F1531" s="2473"/>
      <c r="G1531" s="2473"/>
      <c r="H1531" s="2473"/>
      <c r="I1531" s="2474"/>
      <c r="J1531" s="733" t="s">
        <v>373</v>
      </c>
      <c r="K1531" s="733" t="s">
        <v>244</v>
      </c>
      <c r="L1531" s="733" t="s">
        <v>245</v>
      </c>
      <c r="M1531" s="733" t="s">
        <v>246</v>
      </c>
      <c r="N1531" s="733" t="s">
        <v>247</v>
      </c>
      <c r="O1531" s="733" t="s">
        <v>248</v>
      </c>
      <c r="P1531" s="173" t="s">
        <v>249</v>
      </c>
      <c r="Q1531" s="716" t="s">
        <v>250</v>
      </c>
      <c r="R1531" s="734" t="s">
        <v>139</v>
      </c>
      <c r="S1531" s="733" t="s">
        <v>251</v>
      </c>
      <c r="T1531" s="733" t="s">
        <v>252</v>
      </c>
      <c r="U1531" s="735" t="s">
        <v>253</v>
      </c>
      <c r="V1531" s="662"/>
    </row>
    <row r="1532" spans="1:22" s="164" customFormat="1">
      <c r="A1532" s="1106"/>
      <c r="B1532" s="718"/>
      <c r="C1532" s="2466"/>
      <c r="D1532" s="2475" t="s">
        <v>254</v>
      </c>
      <c r="E1532" s="2476"/>
      <c r="F1532" s="2477"/>
      <c r="G1532" s="2469" t="s">
        <v>255</v>
      </c>
      <c r="H1532" s="2470"/>
      <c r="I1532" s="2471"/>
      <c r="J1532" s="740"/>
      <c r="K1532" s="740"/>
      <c r="L1532" s="740"/>
      <c r="M1532" s="740"/>
      <c r="N1532" s="740"/>
      <c r="O1532" s="740"/>
      <c r="P1532" s="177" t="s">
        <v>256</v>
      </c>
      <c r="Q1532" s="740"/>
      <c r="R1532" s="741"/>
      <c r="S1532" s="740"/>
      <c r="T1532" s="740"/>
      <c r="U1532" s="742"/>
      <c r="V1532" s="662"/>
    </row>
    <row r="1533" spans="1:22" ht="30">
      <c r="A1533" s="1110"/>
      <c r="B1533" s="336"/>
      <c r="C1533" s="266" t="s">
        <v>422</v>
      </c>
      <c r="D1533" s="485"/>
      <c r="E1533" s="470"/>
      <c r="F1533" s="486"/>
      <c r="G1533" s="487"/>
      <c r="H1533" s="473"/>
      <c r="I1533" s="488"/>
      <c r="J1533" s="275"/>
      <c r="K1533" s="275"/>
      <c r="L1533" s="275"/>
      <c r="M1533" s="275"/>
      <c r="N1533" s="275">
        <f t="shared" ref="N1533:N1553" si="211">1.2*1.2</f>
        <v>1.44</v>
      </c>
      <c r="O1533" s="275"/>
      <c r="P1533" s="338"/>
      <c r="Q1533" s="275"/>
      <c r="R1533" s="191">
        <f t="shared" ref="R1533:R1538" si="212">N1533</f>
        <v>1.44</v>
      </c>
      <c r="S1533" s="275" t="s">
        <v>151</v>
      </c>
      <c r="T1533" s="276">
        <v>13</v>
      </c>
      <c r="U1533" s="876"/>
      <c r="V1533" s="842"/>
    </row>
    <row r="1534" spans="1:22" ht="30">
      <c r="A1534" s="1110"/>
      <c r="B1534" s="296"/>
      <c r="C1534" s="339" t="s">
        <v>422</v>
      </c>
      <c r="D1534" s="560"/>
      <c r="E1534" s="464"/>
      <c r="F1534" s="463"/>
      <c r="G1534" s="458"/>
      <c r="H1534" s="459"/>
      <c r="I1534" s="460"/>
      <c r="J1534" s="340"/>
      <c r="K1534" s="340"/>
      <c r="L1534" s="340"/>
      <c r="M1534" s="340"/>
      <c r="N1534" s="340">
        <f t="shared" si="211"/>
        <v>1.44</v>
      </c>
      <c r="O1534" s="340"/>
      <c r="P1534" s="461"/>
      <c r="Q1534" s="340"/>
      <c r="R1534" s="462">
        <f t="shared" si="212"/>
        <v>1.44</v>
      </c>
      <c r="S1534" s="340" t="s">
        <v>151</v>
      </c>
      <c r="T1534" s="347">
        <v>14</v>
      </c>
      <c r="U1534" s="903">
        <v>45200</v>
      </c>
      <c r="V1534" s="842"/>
    </row>
    <row r="1535" spans="1:22" ht="30">
      <c r="A1535" s="1110"/>
      <c r="B1535" s="296"/>
      <c r="C1535" s="339" t="s">
        <v>422</v>
      </c>
      <c r="D1535" s="560"/>
      <c r="E1535" s="464"/>
      <c r="F1535" s="463"/>
      <c r="G1535" s="458"/>
      <c r="H1535" s="459"/>
      <c r="I1535" s="460"/>
      <c r="J1535" s="340"/>
      <c r="K1535" s="340"/>
      <c r="L1535" s="340"/>
      <c r="M1535" s="340"/>
      <c r="N1535" s="340">
        <f t="shared" si="211"/>
        <v>1.44</v>
      </c>
      <c r="O1535" s="340"/>
      <c r="P1535" s="461"/>
      <c r="Q1535" s="340"/>
      <c r="R1535" s="462">
        <f t="shared" si="212"/>
        <v>1.44</v>
      </c>
      <c r="S1535" s="340" t="s">
        <v>151</v>
      </c>
      <c r="T1535" s="347">
        <v>15</v>
      </c>
      <c r="U1535" s="903">
        <v>45231</v>
      </c>
      <c r="V1535" s="842"/>
    </row>
    <row r="1536" spans="1:22" ht="30">
      <c r="A1536" s="1110"/>
      <c r="B1536" s="296"/>
      <c r="C1536" s="339" t="s">
        <v>422</v>
      </c>
      <c r="D1536" s="560"/>
      <c r="E1536" s="464"/>
      <c r="F1536" s="463"/>
      <c r="G1536" s="458"/>
      <c r="H1536" s="459"/>
      <c r="I1536" s="460"/>
      <c r="J1536" s="340"/>
      <c r="K1536" s="340"/>
      <c r="L1536" s="340"/>
      <c r="M1536" s="340"/>
      <c r="N1536" s="340">
        <f t="shared" si="211"/>
        <v>1.44</v>
      </c>
      <c r="O1536" s="340"/>
      <c r="P1536" s="461"/>
      <c r="Q1536" s="340"/>
      <c r="R1536" s="462">
        <f t="shared" si="212"/>
        <v>1.44</v>
      </c>
      <c r="S1536" s="340" t="s">
        <v>151</v>
      </c>
      <c r="T1536" s="347">
        <v>16</v>
      </c>
      <c r="U1536" s="903">
        <v>45261</v>
      </c>
      <c r="V1536" s="842"/>
    </row>
    <row r="1537" spans="1:22" ht="30">
      <c r="A1537" s="1110"/>
      <c r="B1537" s="296"/>
      <c r="C1537" s="339" t="s">
        <v>422</v>
      </c>
      <c r="D1537" s="560"/>
      <c r="E1537" s="464"/>
      <c r="F1537" s="463"/>
      <c r="G1537" s="458"/>
      <c r="H1537" s="459"/>
      <c r="I1537" s="460"/>
      <c r="J1537" s="340"/>
      <c r="K1537" s="340"/>
      <c r="L1537" s="340"/>
      <c r="M1537" s="340"/>
      <c r="N1537" s="340">
        <f t="shared" si="211"/>
        <v>1.44</v>
      </c>
      <c r="O1537" s="340"/>
      <c r="P1537" s="461"/>
      <c r="Q1537" s="340"/>
      <c r="R1537" s="462">
        <f t="shared" si="212"/>
        <v>1.44</v>
      </c>
      <c r="S1537" s="340" t="s">
        <v>151</v>
      </c>
      <c r="T1537" s="347">
        <v>17</v>
      </c>
      <c r="U1537" s="903">
        <v>45292</v>
      </c>
      <c r="V1537" s="842"/>
    </row>
    <row r="1538" spans="1:22" ht="30">
      <c r="A1538" s="1110"/>
      <c r="B1538" s="296"/>
      <c r="C1538" s="339" t="s">
        <v>422</v>
      </c>
      <c r="D1538" s="560"/>
      <c r="E1538" s="464"/>
      <c r="F1538" s="463"/>
      <c r="G1538" s="458"/>
      <c r="H1538" s="459"/>
      <c r="I1538" s="460"/>
      <c r="J1538" s="340"/>
      <c r="K1538" s="340"/>
      <c r="L1538" s="340"/>
      <c r="M1538" s="340"/>
      <c r="N1538" s="340">
        <f t="shared" si="211"/>
        <v>1.44</v>
      </c>
      <c r="O1538" s="340"/>
      <c r="P1538" s="461"/>
      <c r="Q1538" s="340"/>
      <c r="R1538" s="462">
        <f t="shared" si="212"/>
        <v>1.44</v>
      </c>
      <c r="S1538" s="340" t="s">
        <v>151</v>
      </c>
      <c r="T1538" s="347">
        <v>18</v>
      </c>
      <c r="U1538" s="903">
        <v>45323</v>
      </c>
      <c r="V1538" s="842"/>
    </row>
    <row r="1539" spans="1:22" ht="30">
      <c r="A1539" s="1110"/>
      <c r="B1539" s="296"/>
      <c r="C1539" s="339" t="s">
        <v>422</v>
      </c>
      <c r="D1539" s="560"/>
      <c r="E1539" s="464"/>
      <c r="F1539" s="463"/>
      <c r="G1539" s="458"/>
      <c r="H1539" s="459"/>
      <c r="I1539" s="460"/>
      <c r="J1539" s="340"/>
      <c r="K1539" s="340"/>
      <c r="L1539" s="340"/>
      <c r="M1539" s="340"/>
      <c r="N1539" s="340">
        <f t="shared" si="211"/>
        <v>1.44</v>
      </c>
      <c r="O1539" s="340"/>
      <c r="P1539" s="461"/>
      <c r="Q1539" s="340"/>
      <c r="R1539" s="462">
        <v>0.36</v>
      </c>
      <c r="S1539" s="340" t="s">
        <v>151</v>
      </c>
      <c r="T1539" s="347">
        <v>19</v>
      </c>
      <c r="U1539" s="903">
        <v>45352</v>
      </c>
      <c r="V1539" s="842"/>
    </row>
    <row r="1540" spans="1:22" ht="30">
      <c r="A1540" s="1110"/>
      <c r="B1540" s="296"/>
      <c r="C1540" s="339" t="s">
        <v>422</v>
      </c>
      <c r="D1540" s="560"/>
      <c r="E1540" s="464"/>
      <c r="F1540" s="463"/>
      <c r="G1540" s="458"/>
      <c r="H1540" s="459"/>
      <c r="I1540" s="460"/>
      <c r="J1540" s="340"/>
      <c r="K1540" s="340"/>
      <c r="L1540" s="340"/>
      <c r="M1540" s="340"/>
      <c r="N1540" s="340">
        <f t="shared" si="211"/>
        <v>1.44</v>
      </c>
      <c r="O1540" s="340"/>
      <c r="P1540" s="461"/>
      <c r="Q1540" s="340"/>
      <c r="R1540" s="462">
        <f>R1538-R1539</f>
        <v>1.08</v>
      </c>
      <c r="S1540" s="340" t="s">
        <v>151</v>
      </c>
      <c r="T1540" s="347">
        <v>22</v>
      </c>
      <c r="U1540" s="903">
        <v>45383</v>
      </c>
      <c r="V1540" s="842"/>
    </row>
    <row r="1541" spans="1:22" ht="30">
      <c r="A1541" s="1110"/>
      <c r="B1541" s="296"/>
      <c r="C1541" s="339" t="s">
        <v>422</v>
      </c>
      <c r="D1541" s="560"/>
      <c r="E1541" s="464"/>
      <c r="F1541" s="463"/>
      <c r="G1541" s="458"/>
      <c r="H1541" s="459"/>
      <c r="I1541" s="460"/>
      <c r="J1541" s="340"/>
      <c r="K1541" s="340"/>
      <c r="L1541" s="340"/>
      <c r="M1541" s="340"/>
      <c r="N1541" s="340">
        <f t="shared" si="211"/>
        <v>1.44</v>
      </c>
      <c r="O1541" s="340"/>
      <c r="P1541" s="461"/>
      <c r="Q1541" s="340"/>
      <c r="R1541" s="462">
        <f>N1541</f>
        <v>1.44</v>
      </c>
      <c r="S1541" s="340" t="s">
        <v>151</v>
      </c>
      <c r="T1541" s="347">
        <v>22</v>
      </c>
      <c r="U1541" s="903">
        <v>45413</v>
      </c>
      <c r="V1541" s="842"/>
    </row>
    <row r="1542" spans="1:22" ht="30">
      <c r="A1542" s="1110"/>
      <c r="B1542" s="296"/>
      <c r="C1542" s="339" t="s">
        <v>422</v>
      </c>
      <c r="D1542" s="560"/>
      <c r="E1542" s="464"/>
      <c r="F1542" s="463"/>
      <c r="G1542" s="458"/>
      <c r="H1542" s="459"/>
      <c r="I1542" s="460"/>
      <c r="J1542" s="340"/>
      <c r="K1542" s="340"/>
      <c r="L1542" s="340"/>
      <c r="M1542" s="340"/>
      <c r="N1542" s="340">
        <f t="shared" si="211"/>
        <v>1.44</v>
      </c>
      <c r="O1542" s="340"/>
      <c r="P1542" s="461"/>
      <c r="Q1542" s="340"/>
      <c r="R1542" s="462">
        <f>N1542</f>
        <v>1.44</v>
      </c>
      <c r="S1542" s="340" t="s">
        <v>151</v>
      </c>
      <c r="T1542" s="347">
        <v>22</v>
      </c>
      <c r="U1542" s="903">
        <v>45444</v>
      </c>
      <c r="V1542" s="842"/>
    </row>
    <row r="1543" spans="1:22" ht="30">
      <c r="A1543" s="1110"/>
      <c r="B1543" s="296"/>
      <c r="C1543" s="339" t="s">
        <v>422</v>
      </c>
      <c r="D1543" s="560"/>
      <c r="E1543" s="464"/>
      <c r="F1543" s="463"/>
      <c r="G1543" s="458"/>
      <c r="H1543" s="459"/>
      <c r="I1543" s="460"/>
      <c r="J1543" s="340"/>
      <c r="K1543" s="340"/>
      <c r="L1543" s="340"/>
      <c r="M1543" s="340"/>
      <c r="N1543" s="340">
        <f t="shared" si="211"/>
        <v>1.44</v>
      </c>
      <c r="O1543" s="340"/>
      <c r="P1543" s="461"/>
      <c r="Q1543" s="340"/>
      <c r="R1543" s="462"/>
      <c r="S1543" s="340" t="s">
        <v>151</v>
      </c>
      <c r="T1543" s="347">
        <v>22</v>
      </c>
      <c r="U1543" s="903">
        <v>45474</v>
      </c>
      <c r="V1543" s="842"/>
    </row>
    <row r="1544" spans="1:22" ht="30">
      <c r="A1544" s="1110"/>
      <c r="B1544" s="296"/>
      <c r="C1544" s="339" t="s">
        <v>422</v>
      </c>
      <c r="D1544" s="560"/>
      <c r="E1544" s="464"/>
      <c r="F1544" s="463"/>
      <c r="G1544" s="458"/>
      <c r="H1544" s="459"/>
      <c r="I1544" s="460"/>
      <c r="J1544" s="340"/>
      <c r="K1544" s="340"/>
      <c r="L1544" s="340"/>
      <c r="M1544" s="340"/>
      <c r="N1544" s="340">
        <f t="shared" si="211"/>
        <v>1.44</v>
      </c>
      <c r="O1544" s="340"/>
      <c r="P1544" s="461"/>
      <c r="Q1544" s="340"/>
      <c r="R1544" s="462">
        <f>N1544</f>
        <v>1.44</v>
      </c>
      <c r="S1544" s="340" t="s">
        <v>151</v>
      </c>
      <c r="T1544" s="347">
        <v>22</v>
      </c>
      <c r="U1544" s="903">
        <v>45505</v>
      </c>
      <c r="V1544" s="842"/>
    </row>
    <row r="1545" spans="1:22" ht="30">
      <c r="A1545" s="1110"/>
      <c r="B1545" s="296"/>
      <c r="C1545" s="339" t="s">
        <v>422</v>
      </c>
      <c r="D1545" s="560"/>
      <c r="E1545" s="464"/>
      <c r="F1545" s="463"/>
      <c r="G1545" s="458"/>
      <c r="H1545" s="459"/>
      <c r="I1545" s="460"/>
      <c r="J1545" s="340"/>
      <c r="K1545" s="340"/>
      <c r="L1545" s="340"/>
      <c r="M1545" s="340"/>
      <c r="N1545" s="340">
        <f t="shared" si="211"/>
        <v>1.44</v>
      </c>
      <c r="O1545" s="340"/>
      <c r="P1545" s="461"/>
      <c r="Q1545" s="340"/>
      <c r="R1545" s="462"/>
      <c r="S1545" s="340" t="s">
        <v>151</v>
      </c>
      <c r="T1545" s="347">
        <v>22</v>
      </c>
      <c r="U1545" s="903">
        <v>45536</v>
      </c>
      <c r="V1545" s="842"/>
    </row>
    <row r="1546" spans="1:22" ht="33" customHeight="1">
      <c r="A1546" s="1110"/>
      <c r="B1546" s="296"/>
      <c r="C1546" s="339" t="s">
        <v>422</v>
      </c>
      <c r="D1546" s="560"/>
      <c r="E1546" s="464"/>
      <c r="F1546" s="463"/>
      <c r="G1546" s="458"/>
      <c r="H1546" s="459"/>
      <c r="I1546" s="460"/>
      <c r="J1546" s="340"/>
      <c r="K1546" s="340"/>
      <c r="L1546" s="340"/>
      <c r="M1546" s="340"/>
      <c r="N1546" s="340">
        <f t="shared" si="211"/>
        <v>1.44</v>
      </c>
      <c r="O1546" s="340"/>
      <c r="P1546" s="461"/>
      <c r="Q1546" s="340"/>
      <c r="R1546" s="462">
        <v>1.4</v>
      </c>
      <c r="S1546" s="340" t="s">
        <v>151</v>
      </c>
      <c r="T1546" s="347">
        <v>25</v>
      </c>
      <c r="U1546" s="903">
        <v>45658</v>
      </c>
      <c r="V1546" s="842"/>
    </row>
    <row r="1547" spans="1:22" ht="33" customHeight="1">
      <c r="A1547" s="1110"/>
      <c r="B1547" s="296"/>
      <c r="C1547" s="339" t="s">
        <v>422</v>
      </c>
      <c r="D1547" s="560"/>
      <c r="E1547" s="464"/>
      <c r="F1547" s="463"/>
      <c r="G1547" s="458"/>
      <c r="H1547" s="459"/>
      <c r="I1547" s="460"/>
      <c r="J1547" s="340"/>
      <c r="K1547" s="340"/>
      <c r="L1547" s="340"/>
      <c r="M1547" s="340"/>
      <c r="N1547" s="340">
        <f t="shared" si="211"/>
        <v>1.44</v>
      </c>
      <c r="O1547" s="340"/>
      <c r="P1547" s="461"/>
      <c r="Q1547" s="340"/>
      <c r="R1547" s="462">
        <v>1.4</v>
      </c>
      <c r="S1547" s="340" t="s">
        <v>151</v>
      </c>
      <c r="T1547" s="347">
        <v>26</v>
      </c>
      <c r="U1547" s="903">
        <v>45689</v>
      </c>
      <c r="V1547" s="842"/>
    </row>
    <row r="1548" spans="1:22" s="687" customFormat="1" ht="33" customHeight="1">
      <c r="A1548" s="1771"/>
      <c r="B1548" s="296"/>
      <c r="C1548" s="339" t="s">
        <v>1132</v>
      </c>
      <c r="D1548" s="560"/>
      <c r="E1548" s="464"/>
      <c r="F1548" s="463"/>
      <c r="G1548" s="458"/>
      <c r="H1548" s="459"/>
      <c r="I1548" s="460"/>
      <c r="J1548" s="340"/>
      <c r="K1548" s="340"/>
      <c r="L1548" s="340"/>
      <c r="M1548" s="340"/>
      <c r="N1548" s="340">
        <f t="shared" si="211"/>
        <v>1.44</v>
      </c>
      <c r="O1548" s="340"/>
      <c r="P1548" s="461"/>
      <c r="Q1548" s="340"/>
      <c r="R1548" s="462">
        <v>1.4</v>
      </c>
      <c r="S1548" s="340" t="s">
        <v>151</v>
      </c>
      <c r="T1548" s="347">
        <v>27</v>
      </c>
      <c r="U1548" s="903">
        <v>45717</v>
      </c>
      <c r="V1548" s="1054"/>
    </row>
    <row r="1549" spans="1:22" s="687" customFormat="1" ht="33" customHeight="1">
      <c r="A1549" s="1771"/>
      <c r="B1549" s="296"/>
      <c r="C1549" s="339" t="s">
        <v>422</v>
      </c>
      <c r="D1549" s="560"/>
      <c r="E1549" s="464"/>
      <c r="F1549" s="463"/>
      <c r="G1549" s="458"/>
      <c r="H1549" s="459"/>
      <c r="I1549" s="460"/>
      <c r="J1549" s="340"/>
      <c r="K1549" s="340"/>
      <c r="L1549" s="340"/>
      <c r="M1549" s="340"/>
      <c r="N1549" s="340">
        <f t="shared" si="211"/>
        <v>1.44</v>
      </c>
      <c r="O1549" s="340"/>
      <c r="P1549" s="461"/>
      <c r="Q1549" s="340"/>
      <c r="R1549" s="462">
        <v>1.4</v>
      </c>
      <c r="S1549" s="340" t="s">
        <v>151</v>
      </c>
      <c r="T1549" s="347">
        <v>27</v>
      </c>
      <c r="U1549" s="903">
        <v>45748</v>
      </c>
      <c r="V1549" s="1054"/>
    </row>
    <row r="1550" spans="1:22" s="687" customFormat="1" ht="33" customHeight="1">
      <c r="A1550" s="1771"/>
      <c r="B1550" s="296"/>
      <c r="C1550" s="339" t="s">
        <v>422</v>
      </c>
      <c r="D1550" s="560"/>
      <c r="E1550" s="464"/>
      <c r="F1550" s="463"/>
      <c r="G1550" s="458"/>
      <c r="H1550" s="459"/>
      <c r="I1550" s="460"/>
      <c r="J1550" s="340"/>
      <c r="K1550" s="340"/>
      <c r="L1550" s="340"/>
      <c r="M1550" s="340"/>
      <c r="N1550" s="340">
        <f t="shared" si="211"/>
        <v>1.44</v>
      </c>
      <c r="O1550" s="340"/>
      <c r="P1550" s="461"/>
      <c r="Q1550" s="340"/>
      <c r="R1550" s="462">
        <v>1.4</v>
      </c>
      <c r="S1550" s="340" t="s">
        <v>151</v>
      </c>
      <c r="T1550" s="347">
        <v>27</v>
      </c>
      <c r="U1550" s="903">
        <v>45778</v>
      </c>
      <c r="V1550" s="1054"/>
    </row>
    <row r="1551" spans="1:22" s="687" customFormat="1" ht="33" customHeight="1">
      <c r="A1551" s="1771"/>
      <c r="B1551" s="767"/>
      <c r="C1551" s="510" t="s">
        <v>422</v>
      </c>
      <c r="D1551" s="561"/>
      <c r="E1551" s="864"/>
      <c r="F1551" s="865"/>
      <c r="G1551" s="866"/>
      <c r="H1551" s="807"/>
      <c r="I1551" s="867"/>
      <c r="J1551" s="438"/>
      <c r="K1551" s="438"/>
      <c r="L1551" s="438"/>
      <c r="M1551" s="438"/>
      <c r="N1551" s="438">
        <f t="shared" si="211"/>
        <v>1.44</v>
      </c>
      <c r="O1551" s="438"/>
      <c r="P1551" s="453"/>
      <c r="Q1551" s="438"/>
      <c r="R1551" s="454">
        <v>1.4</v>
      </c>
      <c r="S1551" s="438" t="s">
        <v>151</v>
      </c>
      <c r="T1551" s="441">
        <v>28</v>
      </c>
      <c r="U1551" s="877">
        <v>45809</v>
      </c>
      <c r="V1551" s="1054"/>
    </row>
    <row r="1552" spans="1:22" s="687" customFormat="1" ht="33" customHeight="1">
      <c r="A1552" s="1771"/>
      <c r="B1552" s="767"/>
      <c r="C1552" s="510" t="s">
        <v>422</v>
      </c>
      <c r="D1552" s="561"/>
      <c r="E1552" s="864"/>
      <c r="F1552" s="865"/>
      <c r="G1552" s="866"/>
      <c r="H1552" s="807"/>
      <c r="I1552" s="867"/>
      <c r="J1552" s="438"/>
      <c r="K1552" s="438"/>
      <c r="L1552" s="438"/>
      <c r="M1552" s="438"/>
      <c r="N1552" s="438">
        <f t="shared" si="211"/>
        <v>1.44</v>
      </c>
      <c r="O1552" s="438"/>
      <c r="P1552" s="453"/>
      <c r="Q1552" s="438"/>
      <c r="R1552" s="454">
        <v>1.4</v>
      </c>
      <c r="S1552" s="438" t="s">
        <v>151</v>
      </c>
      <c r="T1552" s="441">
        <v>28</v>
      </c>
      <c r="U1552" s="877">
        <v>45839</v>
      </c>
      <c r="V1552" s="1054"/>
    </row>
    <row r="1553" spans="1:22" s="687" customFormat="1" ht="33" customHeight="1">
      <c r="A1553" s="1771"/>
      <c r="B1553" s="1515"/>
      <c r="C1553" s="972" t="s">
        <v>422</v>
      </c>
      <c r="D1553" s="872"/>
      <c r="E1553" s="898"/>
      <c r="F1553" s="899"/>
      <c r="G1553" s="1469"/>
      <c r="H1553" s="1410"/>
      <c r="I1553" s="1470"/>
      <c r="J1553" s="760"/>
      <c r="K1553" s="760"/>
      <c r="L1553" s="760"/>
      <c r="M1553" s="760"/>
      <c r="N1553" s="760">
        <f t="shared" si="211"/>
        <v>1.44</v>
      </c>
      <c r="O1553" s="760"/>
      <c r="P1553" s="873"/>
      <c r="Q1553" s="760"/>
      <c r="R1553" s="962">
        <v>1.4</v>
      </c>
      <c r="S1553" s="760" t="s">
        <v>151</v>
      </c>
      <c r="T1553" s="874">
        <v>28</v>
      </c>
      <c r="U1553" s="1680">
        <v>45870</v>
      </c>
      <c r="V1553" s="1054"/>
    </row>
    <row r="1554" spans="1:22" s="164" customFormat="1">
      <c r="A1554" s="1106"/>
      <c r="B1554" s="239"/>
      <c r="C1554" s="1603"/>
      <c r="D1554" s="2730" t="s">
        <v>257</v>
      </c>
      <c r="E1554" s="2731"/>
      <c r="F1554" s="2731"/>
      <c r="G1554" s="2731"/>
      <c r="H1554" s="2731"/>
      <c r="I1554" s="2732"/>
      <c r="J1554" s="2490">
        <f>VLOOKUP(A1556,'11 - FINANCEIRA'!$A$16:$AE$156,30,FALSE)</f>
        <v>27</v>
      </c>
      <c r="K1554" s="2491"/>
      <c r="L1554" s="309" t="str">
        <f>VLOOKUP(A1556,'11 - FINANCEIRA'!_xlnm.Print_Area,4,FALSE)</f>
        <v>m²</v>
      </c>
      <c r="M1554" s="2727" t="s">
        <v>258</v>
      </c>
      <c r="N1554" s="2728"/>
      <c r="O1554" s="2728"/>
      <c r="P1554" s="2728"/>
      <c r="Q1554" s="2729"/>
      <c r="R1554" s="248">
        <f>SUM(R1533:R1553)</f>
        <v>25.599999999999987</v>
      </c>
      <c r="S1554" s="310" t="str">
        <f>L1554</f>
        <v>m²</v>
      </c>
      <c r="T1554" s="321"/>
      <c r="U1554" s="322"/>
      <c r="V1554" s="662"/>
    </row>
    <row r="1555" spans="1:22" s="164" customFormat="1">
      <c r="A1555" s="1106"/>
      <c r="B1555" s="1123"/>
      <c r="C1555" s="2182"/>
      <c r="D1555" s="2478" t="s">
        <v>259</v>
      </c>
      <c r="E1555" s="2479"/>
      <c r="F1555" s="2479"/>
      <c r="G1555" s="2479"/>
      <c r="H1555" s="2479"/>
      <c r="I1555" s="2480"/>
      <c r="J1555" s="2484">
        <f>R1554/J1554</f>
        <v>0.94814814814814763</v>
      </c>
      <c r="K1555" s="2485"/>
      <c r="L1555" s="743"/>
      <c r="M1555" s="2727" t="s">
        <v>260</v>
      </c>
      <c r="N1555" s="2728"/>
      <c r="O1555" s="2728"/>
      <c r="P1555" s="2728"/>
      <c r="Q1555" s="2729"/>
      <c r="R1555" s="248">
        <f>VLOOKUP(A1556,'11 - FINANCEIRA'!_xlnm.Print_Area,8,FALSE)</f>
        <v>21.399999999999991</v>
      </c>
      <c r="S1555" s="249" t="str">
        <f>L1554</f>
        <v>m²</v>
      </c>
      <c r="T1555" s="244"/>
      <c r="U1555" s="1124"/>
      <c r="V1555" s="662"/>
    </row>
    <row r="1556" spans="1:22" s="164" customFormat="1">
      <c r="A1556" s="1106" t="s">
        <v>435</v>
      </c>
      <c r="B1556" s="250"/>
      <c r="C1556" s="598"/>
      <c r="D1556" s="2481"/>
      <c r="E1556" s="2482"/>
      <c r="F1556" s="2482"/>
      <c r="G1556" s="2482"/>
      <c r="H1556" s="2482"/>
      <c r="I1556" s="2483"/>
      <c r="J1556" s="2486"/>
      <c r="K1556" s="2487"/>
      <c r="L1556" s="751"/>
      <c r="M1556" s="2727" t="s">
        <v>261</v>
      </c>
      <c r="N1556" s="2728"/>
      <c r="O1556" s="2728"/>
      <c r="P1556" s="2728"/>
      <c r="Q1556" s="2729"/>
      <c r="R1556" s="248">
        <f>R1554-R1555</f>
        <v>4.1999999999999957</v>
      </c>
      <c r="S1556" s="249" t="str">
        <f>L1554</f>
        <v>m²</v>
      </c>
      <c r="T1556" s="562"/>
      <c r="U1556" s="563"/>
      <c r="V1556" s="662"/>
    </row>
    <row r="1557" spans="1:22" s="164" customFormat="1" hidden="1">
      <c r="A1557" s="1770"/>
      <c r="B1557" s="660"/>
      <c r="D1557" s="661"/>
      <c r="E1557" s="662"/>
      <c r="F1557" s="663"/>
      <c r="G1557" s="661"/>
      <c r="I1557" s="663"/>
      <c r="K1557" s="664"/>
      <c r="L1557" s="664"/>
      <c r="N1557" s="511"/>
      <c r="O1557" s="662"/>
      <c r="Q1557" s="665"/>
      <c r="R1557" s="666"/>
      <c r="S1557" s="667"/>
      <c r="U1557" s="662"/>
      <c r="V1557" s="662"/>
    </row>
    <row r="1558" spans="1:22" s="164" customFormat="1" ht="31.5">
      <c r="A1558" s="1106"/>
      <c r="B1558" s="717">
        <f>VLOOKUP(A1585,'11 - FINANCEIRA'!_xlnm.Print_Area,2,FALSE)</f>
        <v>7010100210</v>
      </c>
      <c r="C1558" s="785" t="str">
        <f>VLOOKUP(A1585,'11 - FINANCEIRA'!_xlnm.Print_Area,3,FALSE)</f>
        <v xml:space="preserve">Banheiro químico </v>
      </c>
      <c r="D1558" s="2472" t="s">
        <v>242</v>
      </c>
      <c r="E1558" s="2473"/>
      <c r="F1558" s="2473"/>
      <c r="G1558" s="2473"/>
      <c r="H1558" s="2473"/>
      <c r="I1558" s="2474"/>
      <c r="J1558" s="733" t="s">
        <v>373</v>
      </c>
      <c r="K1558" s="716" t="s">
        <v>244</v>
      </c>
      <c r="L1558" s="733" t="s">
        <v>245</v>
      </c>
      <c r="M1558" s="733" t="s">
        <v>246</v>
      </c>
      <c r="N1558" s="733" t="s">
        <v>247</v>
      </c>
      <c r="O1558" s="733" t="s">
        <v>248</v>
      </c>
      <c r="P1558" s="173" t="s">
        <v>249</v>
      </c>
      <c r="Q1558" s="716" t="s">
        <v>250</v>
      </c>
      <c r="R1558" s="734" t="s">
        <v>139</v>
      </c>
      <c r="S1558" s="733" t="s">
        <v>251</v>
      </c>
      <c r="T1558" s="733" t="s">
        <v>252</v>
      </c>
      <c r="U1558" s="735" t="s">
        <v>253</v>
      </c>
      <c r="V1558" s="662"/>
    </row>
    <row r="1559" spans="1:22" s="164" customFormat="1">
      <c r="A1559" s="1106"/>
      <c r="B1559" s="718"/>
      <c r="C1559" s="736"/>
      <c r="D1559" s="2475" t="s">
        <v>254</v>
      </c>
      <c r="E1559" s="2476"/>
      <c r="F1559" s="2477"/>
      <c r="G1559" s="2469" t="s">
        <v>255</v>
      </c>
      <c r="H1559" s="2470"/>
      <c r="I1559" s="2471"/>
      <c r="J1559" s="740"/>
      <c r="K1559" s="740"/>
      <c r="L1559" s="740"/>
      <c r="M1559" s="740"/>
      <c r="N1559" s="740"/>
      <c r="O1559" s="740"/>
      <c r="P1559" s="177" t="s">
        <v>256</v>
      </c>
      <c r="Q1559" s="740"/>
      <c r="R1559" s="741"/>
      <c r="S1559" s="740"/>
      <c r="T1559" s="740"/>
      <c r="U1559" s="742"/>
      <c r="V1559" s="662"/>
    </row>
    <row r="1560" spans="1:22">
      <c r="A1560" s="1110"/>
      <c r="B1560" s="609"/>
      <c r="C1560" s="337" t="s">
        <v>585</v>
      </c>
      <c r="D1560" s="878"/>
      <c r="E1560" s="444"/>
      <c r="F1560" s="879"/>
      <c r="G1560" s="880"/>
      <c r="H1560" s="447"/>
      <c r="I1560" s="881"/>
      <c r="J1560" s="411">
        <v>1</v>
      </c>
      <c r="K1560" s="411"/>
      <c r="L1560" s="411"/>
      <c r="M1560" s="411"/>
      <c r="N1560" s="411"/>
      <c r="O1560" s="411"/>
      <c r="P1560" s="449"/>
      <c r="Q1560" s="411"/>
      <c r="R1560" s="450">
        <v>1</v>
      </c>
      <c r="S1560" s="411" t="s">
        <v>251</v>
      </c>
      <c r="T1560" s="355">
        <v>13</v>
      </c>
      <c r="U1560" s="903">
        <v>45170</v>
      </c>
      <c r="V1560" s="842"/>
    </row>
    <row r="1561" spans="1:22">
      <c r="A1561" s="1110"/>
      <c r="B1561" s="296"/>
      <c r="C1561" s="339" t="s">
        <v>594</v>
      </c>
      <c r="D1561" s="560"/>
      <c r="E1561" s="464"/>
      <c r="F1561" s="463"/>
      <c r="G1561" s="458"/>
      <c r="H1561" s="459"/>
      <c r="I1561" s="460"/>
      <c r="J1561" s="340">
        <v>1</v>
      </c>
      <c r="K1561" s="340"/>
      <c r="L1561" s="340"/>
      <c r="M1561" s="340"/>
      <c r="N1561" s="340"/>
      <c r="O1561" s="340"/>
      <c r="P1561" s="461"/>
      <c r="Q1561" s="340"/>
      <c r="R1561" s="462">
        <v>1</v>
      </c>
      <c r="S1561" s="340" t="s">
        <v>251</v>
      </c>
      <c r="T1561" s="347">
        <v>14</v>
      </c>
      <c r="U1561" s="903">
        <v>45200</v>
      </c>
      <c r="V1561" s="842"/>
    </row>
    <row r="1562" spans="1:22">
      <c r="A1562" s="1110"/>
      <c r="B1562" s="296"/>
      <c r="C1562" s="339" t="s">
        <v>602</v>
      </c>
      <c r="D1562" s="560"/>
      <c r="E1562" s="464"/>
      <c r="F1562" s="463"/>
      <c r="G1562" s="458"/>
      <c r="H1562" s="459"/>
      <c r="I1562" s="460"/>
      <c r="J1562" s="340">
        <v>1</v>
      </c>
      <c r="K1562" s="340"/>
      <c r="L1562" s="340"/>
      <c r="M1562" s="340"/>
      <c r="N1562" s="340"/>
      <c r="O1562" s="340"/>
      <c r="P1562" s="461"/>
      <c r="Q1562" s="340"/>
      <c r="R1562" s="462">
        <v>1</v>
      </c>
      <c r="S1562" s="340" t="s">
        <v>251</v>
      </c>
      <c r="T1562" s="347">
        <v>15</v>
      </c>
      <c r="U1562" s="903">
        <v>45231</v>
      </c>
      <c r="V1562" s="842"/>
    </row>
    <row r="1563" spans="1:22">
      <c r="A1563" s="1110"/>
      <c r="B1563" s="296"/>
      <c r="C1563" s="339" t="s">
        <v>656</v>
      </c>
      <c r="D1563" s="560"/>
      <c r="E1563" s="464"/>
      <c r="F1563" s="463"/>
      <c r="G1563" s="458"/>
      <c r="H1563" s="459"/>
      <c r="I1563" s="460"/>
      <c r="J1563" s="340">
        <v>1</v>
      </c>
      <c r="K1563" s="340"/>
      <c r="L1563" s="340"/>
      <c r="M1563" s="340"/>
      <c r="N1563" s="340"/>
      <c r="O1563" s="340"/>
      <c r="P1563" s="461"/>
      <c r="Q1563" s="340"/>
      <c r="R1563" s="462">
        <v>1</v>
      </c>
      <c r="S1563" s="340" t="s">
        <v>251</v>
      </c>
      <c r="T1563" s="347">
        <v>16</v>
      </c>
      <c r="U1563" s="903">
        <v>45261</v>
      </c>
      <c r="V1563" s="842"/>
    </row>
    <row r="1564" spans="1:22">
      <c r="A1564" s="1110"/>
      <c r="B1564" s="296"/>
      <c r="C1564" s="339" t="s">
        <v>668</v>
      </c>
      <c r="D1564" s="560"/>
      <c r="E1564" s="464"/>
      <c r="F1564" s="463"/>
      <c r="G1564" s="458"/>
      <c r="H1564" s="459"/>
      <c r="I1564" s="460"/>
      <c r="J1564" s="340">
        <v>1</v>
      </c>
      <c r="K1564" s="340"/>
      <c r="L1564" s="340"/>
      <c r="M1564" s="340"/>
      <c r="N1564" s="340"/>
      <c r="O1564" s="340"/>
      <c r="P1564" s="461"/>
      <c r="Q1564" s="340"/>
      <c r="R1564" s="462">
        <v>1</v>
      </c>
      <c r="S1564" s="340" t="s">
        <v>251</v>
      </c>
      <c r="T1564" s="347">
        <v>17</v>
      </c>
      <c r="U1564" s="903">
        <v>45292</v>
      </c>
      <c r="V1564" s="842"/>
    </row>
    <row r="1565" spans="1:22">
      <c r="A1565" s="1110"/>
      <c r="B1565" s="296"/>
      <c r="C1565" s="339" t="s">
        <v>717</v>
      </c>
      <c r="D1565" s="560"/>
      <c r="E1565" s="464"/>
      <c r="F1565" s="463"/>
      <c r="G1565" s="458"/>
      <c r="H1565" s="459"/>
      <c r="I1565" s="460"/>
      <c r="J1565" s="340">
        <v>1</v>
      </c>
      <c r="K1565" s="340"/>
      <c r="L1565" s="340"/>
      <c r="M1565" s="340"/>
      <c r="N1565" s="340"/>
      <c r="O1565" s="340"/>
      <c r="P1565" s="461"/>
      <c r="Q1565" s="340"/>
      <c r="R1565" s="462">
        <v>1</v>
      </c>
      <c r="S1565" s="340" t="s">
        <v>251</v>
      </c>
      <c r="T1565" s="347">
        <v>18</v>
      </c>
      <c r="U1565" s="903">
        <v>45323</v>
      </c>
      <c r="V1565" s="842"/>
    </row>
    <row r="1566" spans="1:22">
      <c r="A1566" s="1110"/>
      <c r="B1566" s="296"/>
      <c r="C1566" s="339" t="s">
        <v>732</v>
      </c>
      <c r="D1566" s="560"/>
      <c r="E1566" s="464"/>
      <c r="F1566" s="463"/>
      <c r="G1566" s="458"/>
      <c r="H1566" s="459"/>
      <c r="I1566" s="460"/>
      <c r="J1566" s="340">
        <v>1</v>
      </c>
      <c r="K1566" s="340"/>
      <c r="L1566" s="340"/>
      <c r="M1566" s="340"/>
      <c r="N1566" s="340"/>
      <c r="O1566" s="340"/>
      <c r="P1566" s="461"/>
      <c r="Q1566" s="340"/>
      <c r="R1566" s="462">
        <v>1</v>
      </c>
      <c r="S1566" s="340" t="s">
        <v>251</v>
      </c>
      <c r="T1566" s="347">
        <v>19</v>
      </c>
      <c r="U1566" s="903">
        <v>45352</v>
      </c>
      <c r="V1566" s="842"/>
    </row>
    <row r="1567" spans="1:22" s="164" customFormat="1">
      <c r="A1567" s="1106"/>
      <c r="B1567" s="296"/>
      <c r="C1567" s="339" t="s">
        <v>750</v>
      </c>
      <c r="D1567" s="560"/>
      <c r="E1567" s="464"/>
      <c r="F1567" s="463"/>
      <c r="G1567" s="458"/>
      <c r="H1567" s="459"/>
      <c r="I1567" s="460"/>
      <c r="J1567" s="340">
        <v>1</v>
      </c>
      <c r="K1567" s="340"/>
      <c r="L1567" s="340"/>
      <c r="M1567" s="340"/>
      <c r="N1567" s="340"/>
      <c r="O1567" s="340"/>
      <c r="P1567" s="461"/>
      <c r="Q1567" s="340"/>
      <c r="R1567" s="462">
        <v>1</v>
      </c>
      <c r="S1567" s="340" t="s">
        <v>251</v>
      </c>
      <c r="T1567" s="347">
        <v>20</v>
      </c>
      <c r="U1567" s="903">
        <v>45383</v>
      </c>
      <c r="V1567" s="662"/>
    </row>
    <row r="1568" spans="1:22">
      <c r="A1568" s="1110"/>
      <c r="B1568" s="296"/>
      <c r="C1568" s="339" t="s">
        <v>785</v>
      </c>
      <c r="D1568" s="560"/>
      <c r="E1568" s="464"/>
      <c r="F1568" s="463"/>
      <c r="G1568" s="458"/>
      <c r="H1568" s="459"/>
      <c r="I1568" s="460"/>
      <c r="J1568" s="340">
        <v>1</v>
      </c>
      <c r="K1568" s="340"/>
      <c r="L1568" s="340"/>
      <c r="M1568" s="340"/>
      <c r="N1568" s="340"/>
      <c r="O1568" s="340"/>
      <c r="P1568" s="461"/>
      <c r="Q1568" s="340"/>
      <c r="R1568" s="462">
        <v>1</v>
      </c>
      <c r="S1568" s="340" t="s">
        <v>251</v>
      </c>
      <c r="T1568" s="347">
        <v>21</v>
      </c>
      <c r="U1568" s="903">
        <v>45413</v>
      </c>
      <c r="V1568" s="842"/>
    </row>
    <row r="1569" spans="1:22">
      <c r="A1569" s="1110"/>
      <c r="B1569" s="296"/>
      <c r="C1569" s="339" t="s">
        <v>882</v>
      </c>
      <c r="D1569" s="560"/>
      <c r="E1569" s="464"/>
      <c r="F1569" s="463"/>
      <c r="G1569" s="458"/>
      <c r="H1569" s="459"/>
      <c r="I1569" s="460"/>
      <c r="J1569" s="340">
        <v>1</v>
      </c>
      <c r="K1569" s="340"/>
      <c r="L1569" s="340"/>
      <c r="M1569" s="340"/>
      <c r="N1569" s="340"/>
      <c r="O1569" s="340"/>
      <c r="P1569" s="461"/>
      <c r="Q1569" s="340"/>
      <c r="R1569" s="462">
        <v>1</v>
      </c>
      <c r="S1569" s="340" t="s">
        <v>251</v>
      </c>
      <c r="T1569" s="347">
        <v>22</v>
      </c>
      <c r="U1569" s="903">
        <v>45444</v>
      </c>
      <c r="V1569" s="842"/>
    </row>
    <row r="1570" spans="1:22">
      <c r="A1570" s="1110"/>
      <c r="B1570" s="296"/>
      <c r="C1570" s="339" t="s">
        <v>883</v>
      </c>
      <c r="D1570" s="560"/>
      <c r="E1570" s="464"/>
      <c r="F1570" s="463"/>
      <c r="G1570" s="458"/>
      <c r="H1570" s="459"/>
      <c r="I1570" s="460"/>
      <c r="J1570" s="340">
        <v>1</v>
      </c>
      <c r="K1570" s="340"/>
      <c r="L1570" s="340"/>
      <c r="M1570" s="340"/>
      <c r="N1570" s="340"/>
      <c r="O1570" s="340"/>
      <c r="P1570" s="461"/>
      <c r="Q1570" s="340"/>
      <c r="R1570" s="462"/>
      <c r="S1570" s="340" t="s">
        <v>251</v>
      </c>
      <c r="T1570" s="347">
        <v>22</v>
      </c>
      <c r="U1570" s="903">
        <v>45474</v>
      </c>
      <c r="V1570" s="842"/>
    </row>
    <row r="1571" spans="1:22">
      <c r="A1571" s="1110"/>
      <c r="B1571" s="296"/>
      <c r="C1571" s="339" t="s">
        <v>924</v>
      </c>
      <c r="D1571" s="560"/>
      <c r="E1571" s="464"/>
      <c r="F1571" s="463"/>
      <c r="G1571" s="458"/>
      <c r="H1571" s="459"/>
      <c r="I1571" s="460"/>
      <c r="J1571" s="340">
        <v>1</v>
      </c>
      <c r="K1571" s="340"/>
      <c r="L1571" s="340"/>
      <c r="M1571" s="340"/>
      <c r="N1571" s="340"/>
      <c r="O1571" s="340"/>
      <c r="P1571" s="461"/>
      <c r="Q1571" s="340"/>
      <c r="R1571" s="462">
        <v>1</v>
      </c>
      <c r="S1571" s="340" t="s">
        <v>251</v>
      </c>
      <c r="T1571" s="347">
        <v>23</v>
      </c>
      <c r="U1571" s="903">
        <v>45505</v>
      </c>
      <c r="V1571" s="842"/>
    </row>
    <row r="1572" spans="1:22">
      <c r="A1572" s="1110"/>
      <c r="B1572" s="296"/>
      <c r="C1572" s="339" t="s">
        <v>585</v>
      </c>
      <c r="D1572" s="560"/>
      <c r="E1572" s="464"/>
      <c r="F1572" s="463"/>
      <c r="G1572" s="458"/>
      <c r="H1572" s="459"/>
      <c r="I1572" s="460"/>
      <c r="J1572" s="340">
        <v>1</v>
      </c>
      <c r="K1572" s="340"/>
      <c r="L1572" s="340"/>
      <c r="M1572" s="340"/>
      <c r="N1572" s="340"/>
      <c r="O1572" s="340"/>
      <c r="P1572" s="461"/>
      <c r="Q1572" s="340"/>
      <c r="R1572" s="462">
        <v>1</v>
      </c>
      <c r="S1572" s="340" t="s">
        <v>251</v>
      </c>
      <c r="T1572" s="347">
        <v>24</v>
      </c>
      <c r="U1572" s="903">
        <v>45505</v>
      </c>
      <c r="V1572" s="842"/>
    </row>
    <row r="1573" spans="1:22">
      <c r="A1573" s="1110"/>
      <c r="B1573" s="296"/>
      <c r="C1573" s="1390">
        <v>45566</v>
      </c>
      <c r="D1573" s="560"/>
      <c r="E1573" s="464"/>
      <c r="F1573" s="463"/>
      <c r="G1573" s="458"/>
      <c r="H1573" s="459"/>
      <c r="I1573" s="460"/>
      <c r="J1573" s="340">
        <v>1</v>
      </c>
      <c r="K1573" s="340"/>
      <c r="L1573" s="340"/>
      <c r="M1573" s="340"/>
      <c r="N1573" s="340"/>
      <c r="O1573" s="340"/>
      <c r="P1573" s="461"/>
      <c r="Q1573" s="340"/>
      <c r="R1573" s="462">
        <v>0.5</v>
      </c>
      <c r="S1573" s="340" t="s">
        <v>251</v>
      </c>
      <c r="T1573" s="347">
        <v>25</v>
      </c>
      <c r="U1573" s="903">
        <v>45566</v>
      </c>
      <c r="V1573" s="842"/>
    </row>
    <row r="1574" spans="1:22">
      <c r="A1574" s="1110"/>
      <c r="B1574" s="296"/>
      <c r="C1574" s="1390">
        <v>45658</v>
      </c>
      <c r="D1574" s="560"/>
      <c r="E1574" s="464"/>
      <c r="F1574" s="463"/>
      <c r="G1574" s="458"/>
      <c r="H1574" s="459"/>
      <c r="I1574" s="460"/>
      <c r="J1574" s="340">
        <v>1</v>
      </c>
      <c r="K1574" s="340"/>
      <c r="L1574" s="340"/>
      <c r="M1574" s="340"/>
      <c r="N1574" s="340"/>
      <c r="O1574" s="340"/>
      <c r="P1574" s="461"/>
      <c r="Q1574" s="340"/>
      <c r="R1574" s="462">
        <v>1</v>
      </c>
      <c r="S1574" s="340" t="s">
        <v>251</v>
      </c>
      <c r="T1574" s="347">
        <v>25</v>
      </c>
      <c r="U1574" s="903">
        <v>45658</v>
      </c>
      <c r="V1574" s="842"/>
    </row>
    <row r="1575" spans="1:22">
      <c r="A1575" s="1110"/>
      <c r="B1575" s="296"/>
      <c r="C1575" s="1390">
        <v>45689</v>
      </c>
      <c r="D1575" s="560"/>
      <c r="E1575" s="464"/>
      <c r="F1575" s="463"/>
      <c r="G1575" s="458"/>
      <c r="H1575" s="459"/>
      <c r="I1575" s="460"/>
      <c r="J1575" s="340">
        <v>1</v>
      </c>
      <c r="K1575" s="340"/>
      <c r="L1575" s="340"/>
      <c r="M1575" s="340"/>
      <c r="N1575" s="340"/>
      <c r="O1575" s="340"/>
      <c r="P1575" s="461"/>
      <c r="Q1575" s="340"/>
      <c r="R1575" s="462">
        <v>1</v>
      </c>
      <c r="S1575" s="340" t="s">
        <v>251</v>
      </c>
      <c r="T1575" s="347">
        <v>26</v>
      </c>
      <c r="U1575" s="903">
        <v>45689</v>
      </c>
      <c r="V1575" s="842"/>
    </row>
    <row r="1576" spans="1:22" s="687" customFormat="1">
      <c r="A1576" s="1771"/>
      <c r="B1576" s="296"/>
      <c r="C1576" s="1390">
        <v>45717</v>
      </c>
      <c r="D1576" s="560"/>
      <c r="E1576" s="464"/>
      <c r="F1576" s="463"/>
      <c r="G1576" s="458"/>
      <c r="H1576" s="459"/>
      <c r="I1576" s="460"/>
      <c r="J1576" s="340">
        <v>1</v>
      </c>
      <c r="K1576" s="340"/>
      <c r="L1576" s="340"/>
      <c r="M1576" s="340"/>
      <c r="N1576" s="340"/>
      <c r="O1576" s="340"/>
      <c r="P1576" s="461"/>
      <c r="Q1576" s="340"/>
      <c r="R1576" s="462">
        <v>1</v>
      </c>
      <c r="S1576" s="340" t="s">
        <v>251</v>
      </c>
      <c r="T1576" s="347">
        <v>27</v>
      </c>
      <c r="U1576" s="903">
        <v>45717</v>
      </c>
      <c r="V1576" s="1054"/>
    </row>
    <row r="1577" spans="1:22" s="687" customFormat="1">
      <c r="A1577" s="1771"/>
      <c r="B1577" s="296"/>
      <c r="C1577" s="1390">
        <v>45748</v>
      </c>
      <c r="D1577" s="560"/>
      <c r="E1577" s="464"/>
      <c r="F1577" s="463"/>
      <c r="G1577" s="458"/>
      <c r="H1577" s="459"/>
      <c r="I1577" s="460"/>
      <c r="J1577" s="340">
        <v>1</v>
      </c>
      <c r="K1577" s="340"/>
      <c r="L1577" s="340"/>
      <c r="M1577" s="340"/>
      <c r="N1577" s="340"/>
      <c r="O1577" s="340"/>
      <c r="P1577" s="461"/>
      <c r="Q1577" s="340"/>
      <c r="R1577" s="462">
        <v>1</v>
      </c>
      <c r="S1577" s="340" t="s">
        <v>251</v>
      </c>
      <c r="T1577" s="347">
        <v>27</v>
      </c>
      <c r="U1577" s="903">
        <v>45748</v>
      </c>
      <c r="V1577" s="1054"/>
    </row>
    <row r="1578" spans="1:22" s="687" customFormat="1">
      <c r="A1578" s="1771"/>
      <c r="B1578" s="296"/>
      <c r="C1578" s="1390">
        <v>45778</v>
      </c>
      <c r="D1578" s="560"/>
      <c r="E1578" s="464"/>
      <c r="F1578" s="463"/>
      <c r="G1578" s="458"/>
      <c r="H1578" s="459"/>
      <c r="I1578" s="460"/>
      <c r="J1578" s="340">
        <v>1</v>
      </c>
      <c r="K1578" s="340"/>
      <c r="L1578" s="340"/>
      <c r="M1578" s="340"/>
      <c r="N1578" s="340"/>
      <c r="O1578" s="340"/>
      <c r="P1578" s="461"/>
      <c r="Q1578" s="340"/>
      <c r="R1578" s="462">
        <v>1</v>
      </c>
      <c r="S1578" s="340" t="s">
        <v>251</v>
      </c>
      <c r="T1578" s="347">
        <v>27</v>
      </c>
      <c r="U1578" s="903">
        <v>45778</v>
      </c>
      <c r="V1578" s="1054"/>
    </row>
    <row r="1579" spans="1:22" s="687" customFormat="1">
      <c r="A1579" s="1771"/>
      <c r="B1579" s="767"/>
      <c r="C1579" s="1243">
        <v>45809</v>
      </c>
      <c r="D1579" s="561"/>
      <c r="E1579" s="864"/>
      <c r="F1579" s="865"/>
      <c r="G1579" s="866"/>
      <c r="H1579" s="807"/>
      <c r="I1579" s="867"/>
      <c r="J1579" s="438">
        <v>1</v>
      </c>
      <c r="K1579" s="438"/>
      <c r="L1579" s="438"/>
      <c r="M1579" s="438"/>
      <c r="N1579" s="438"/>
      <c r="O1579" s="438"/>
      <c r="P1579" s="453"/>
      <c r="Q1579" s="438"/>
      <c r="R1579" s="454">
        <v>1</v>
      </c>
      <c r="S1579" s="438" t="s">
        <v>251</v>
      </c>
      <c r="T1579" s="441">
        <v>28</v>
      </c>
      <c r="U1579" s="877">
        <v>45809</v>
      </c>
      <c r="V1579" s="1054"/>
    </row>
    <row r="1580" spans="1:22" s="687" customFormat="1">
      <c r="A1580" s="1771"/>
      <c r="B1580" s="767"/>
      <c r="C1580" s="1243">
        <v>45839</v>
      </c>
      <c r="D1580" s="561"/>
      <c r="E1580" s="864"/>
      <c r="F1580" s="865"/>
      <c r="G1580" s="866"/>
      <c r="H1580" s="807"/>
      <c r="I1580" s="867"/>
      <c r="J1580" s="438">
        <v>1</v>
      </c>
      <c r="K1580" s="438"/>
      <c r="L1580" s="438"/>
      <c r="M1580" s="438"/>
      <c r="N1580" s="438"/>
      <c r="O1580" s="438"/>
      <c r="P1580" s="453"/>
      <c r="Q1580" s="438"/>
      <c r="R1580" s="454">
        <v>1</v>
      </c>
      <c r="S1580" s="438" t="s">
        <v>251</v>
      </c>
      <c r="T1580" s="441">
        <v>28</v>
      </c>
      <c r="U1580" s="877">
        <v>45839</v>
      </c>
      <c r="V1580" s="1054"/>
    </row>
    <row r="1581" spans="1:22" s="687" customFormat="1">
      <c r="A1581" s="1771"/>
      <c r="B1581" s="767"/>
      <c r="C1581" s="1243">
        <v>45870</v>
      </c>
      <c r="D1581" s="561"/>
      <c r="E1581" s="864"/>
      <c r="F1581" s="865"/>
      <c r="G1581" s="866"/>
      <c r="H1581" s="807"/>
      <c r="I1581" s="867"/>
      <c r="J1581" s="438">
        <v>1</v>
      </c>
      <c r="K1581" s="438"/>
      <c r="L1581" s="438"/>
      <c r="M1581" s="438"/>
      <c r="N1581" s="438"/>
      <c r="O1581" s="438"/>
      <c r="P1581" s="453"/>
      <c r="Q1581" s="438"/>
      <c r="R1581" s="454">
        <v>1</v>
      </c>
      <c r="S1581" s="438" t="s">
        <v>251</v>
      </c>
      <c r="T1581" s="441">
        <v>28</v>
      </c>
      <c r="U1581" s="877">
        <v>45870</v>
      </c>
      <c r="V1581" s="1054"/>
    </row>
    <row r="1582" spans="1:22" s="687" customFormat="1">
      <c r="A1582" s="1771"/>
      <c r="B1582" s="1515"/>
      <c r="C1582" s="1681">
        <v>45901</v>
      </c>
      <c r="D1582" s="872"/>
      <c r="E1582" s="898"/>
      <c r="F1582" s="899"/>
      <c r="G1582" s="1469"/>
      <c r="H1582" s="1410"/>
      <c r="I1582" s="1470"/>
      <c r="J1582" s="760">
        <v>1</v>
      </c>
      <c r="K1582" s="760"/>
      <c r="L1582" s="760"/>
      <c r="M1582" s="760"/>
      <c r="N1582" s="760"/>
      <c r="O1582" s="760"/>
      <c r="P1582" s="873"/>
      <c r="Q1582" s="760"/>
      <c r="R1582" s="962">
        <v>1</v>
      </c>
      <c r="S1582" s="760" t="s">
        <v>251</v>
      </c>
      <c r="T1582" s="874">
        <v>28</v>
      </c>
      <c r="U1582" s="1680">
        <v>45870</v>
      </c>
      <c r="V1582" s="1054"/>
    </row>
    <row r="1583" spans="1:22" s="164" customFormat="1" ht="15.75" customHeight="1">
      <c r="A1583" s="1106"/>
      <c r="B1583" s="239"/>
      <c r="C1583" s="1603"/>
      <c r="D1583" s="2730" t="s">
        <v>257</v>
      </c>
      <c r="E1583" s="2731"/>
      <c r="F1583" s="2731"/>
      <c r="G1583" s="2731"/>
      <c r="H1583" s="2731"/>
      <c r="I1583" s="2732"/>
      <c r="J1583" s="2490">
        <f>VLOOKUP(A1585,'11 - FINANCEIRA'!$A$16:$AE$156,30,FALSE)</f>
        <v>24</v>
      </c>
      <c r="K1583" s="2491"/>
      <c r="L1583" s="309" t="str">
        <f>VLOOKUP(A1585,'11 - FINANCEIRA'!_xlnm.Print_Area,4,FALSE)</f>
        <v>UNID</v>
      </c>
      <c r="M1583" s="2727" t="s">
        <v>258</v>
      </c>
      <c r="N1583" s="2728"/>
      <c r="O1583" s="2728"/>
      <c r="P1583" s="2728"/>
      <c r="Q1583" s="2729"/>
      <c r="R1583" s="248">
        <f>SUM(R1560:R1582)</f>
        <v>21.5</v>
      </c>
      <c r="S1583" s="310" t="str">
        <f>L1583</f>
        <v>UNID</v>
      </c>
      <c r="T1583" s="321"/>
      <c r="U1583" s="322"/>
      <c r="V1583" s="662"/>
    </row>
    <row r="1584" spans="1:22" s="164" customFormat="1" ht="15.75" customHeight="1">
      <c r="A1584" s="1106"/>
      <c r="B1584" s="1123"/>
      <c r="C1584" s="2182"/>
      <c r="D1584" s="2478" t="s">
        <v>259</v>
      </c>
      <c r="E1584" s="2479"/>
      <c r="F1584" s="2479"/>
      <c r="G1584" s="2479"/>
      <c r="H1584" s="2479"/>
      <c r="I1584" s="2480"/>
      <c r="J1584" s="2484">
        <f>R1583/J1583</f>
        <v>0.89583333333333337</v>
      </c>
      <c r="K1584" s="2485"/>
      <c r="L1584" s="743"/>
      <c r="M1584" s="2727" t="s">
        <v>260</v>
      </c>
      <c r="N1584" s="2728"/>
      <c r="O1584" s="2728"/>
      <c r="P1584" s="2728"/>
      <c r="Q1584" s="2729"/>
      <c r="R1584" s="248">
        <f>VLOOKUP(A1585,'11 - FINANCEIRA'!_xlnm.Print_Area,8,FALSE)</f>
        <v>17.5</v>
      </c>
      <c r="S1584" s="249" t="str">
        <f>L1583</f>
        <v>UNID</v>
      </c>
      <c r="T1584" s="244"/>
      <c r="U1584" s="1124"/>
      <c r="V1584" s="662"/>
    </row>
    <row r="1585" spans="1:27" s="164" customFormat="1">
      <c r="A1585" s="1106" t="s">
        <v>436</v>
      </c>
      <c r="B1585" s="250"/>
      <c r="C1585" s="598"/>
      <c r="D1585" s="2481"/>
      <c r="E1585" s="2482"/>
      <c r="F1585" s="2482"/>
      <c r="G1585" s="2482"/>
      <c r="H1585" s="2482"/>
      <c r="I1585" s="2483"/>
      <c r="J1585" s="2486"/>
      <c r="K1585" s="2487"/>
      <c r="L1585" s="751"/>
      <c r="M1585" s="2727" t="s">
        <v>261</v>
      </c>
      <c r="N1585" s="2728"/>
      <c r="O1585" s="2728"/>
      <c r="P1585" s="2728"/>
      <c r="Q1585" s="2729"/>
      <c r="R1585" s="248">
        <f>R1583-R1584</f>
        <v>4</v>
      </c>
      <c r="S1585" s="249" t="str">
        <f>L1583</f>
        <v>UNID</v>
      </c>
      <c r="T1585" s="562"/>
      <c r="U1585" s="563"/>
      <c r="V1585" s="662"/>
    </row>
    <row r="1586" spans="1:27" s="164" customFormat="1" hidden="1">
      <c r="A1586" s="1770"/>
      <c r="B1586" s="660"/>
      <c r="D1586" s="661"/>
      <c r="E1586" s="662"/>
      <c r="F1586" s="663"/>
      <c r="G1586" s="661"/>
      <c r="I1586" s="663"/>
      <c r="K1586" s="664"/>
      <c r="L1586" s="664"/>
      <c r="N1586" s="511"/>
      <c r="O1586" s="662"/>
      <c r="Q1586" s="665"/>
      <c r="R1586" s="666"/>
      <c r="S1586" s="667"/>
      <c r="U1586" s="662"/>
      <c r="V1586" s="662"/>
    </row>
    <row r="1587" spans="1:27" s="164" customFormat="1" ht="31.5" hidden="1">
      <c r="A1587" s="1106"/>
      <c r="B1587" s="717">
        <f>VLOOKUP(A1604,'11 - FINANCEIRA'!_xlnm.Print_Area,2,FALSE)</f>
        <v>2003985</v>
      </c>
      <c r="C1587" s="1316" t="str">
        <f>VLOOKUP(A1604,'11 - FINANCEIRA'!_xlnm.Print_Area,3,FALSE)</f>
        <v>Fabricação, montagem e desmontagem de forma em chapa de madeira compensada resinada, E= 17mm</v>
      </c>
      <c r="D1587" s="2472" t="s">
        <v>242</v>
      </c>
      <c r="E1587" s="2473"/>
      <c r="F1587" s="2473"/>
      <c r="G1587" s="2473"/>
      <c r="H1587" s="2473"/>
      <c r="I1587" s="2474"/>
      <c r="J1587" s="733" t="s">
        <v>373</v>
      </c>
      <c r="K1587" s="733" t="s">
        <v>244</v>
      </c>
      <c r="L1587" s="733" t="s">
        <v>245</v>
      </c>
      <c r="M1587" s="2467" t="s">
        <v>987</v>
      </c>
      <c r="N1587" s="733" t="s">
        <v>247</v>
      </c>
      <c r="O1587" s="733" t="s">
        <v>139</v>
      </c>
      <c r="P1587" s="173" t="s">
        <v>249</v>
      </c>
      <c r="Q1587" s="716"/>
      <c r="R1587" s="734" t="s">
        <v>139</v>
      </c>
      <c r="S1587" s="733" t="s">
        <v>251</v>
      </c>
      <c r="T1587" s="733" t="s">
        <v>252</v>
      </c>
      <c r="U1587" s="735" t="s">
        <v>253</v>
      </c>
      <c r="V1587" s="662"/>
    </row>
    <row r="1588" spans="1:27" s="164" customFormat="1" hidden="1">
      <c r="A1588" s="1106"/>
      <c r="B1588" s="718"/>
      <c r="C1588" s="736"/>
      <c r="D1588" s="2475" t="s">
        <v>254</v>
      </c>
      <c r="E1588" s="2476"/>
      <c r="F1588" s="2477"/>
      <c r="G1588" s="2469" t="s">
        <v>255</v>
      </c>
      <c r="H1588" s="2470"/>
      <c r="I1588" s="2471"/>
      <c r="J1588" s="740"/>
      <c r="K1588" s="740"/>
      <c r="L1588" s="740"/>
      <c r="M1588" s="2468"/>
      <c r="N1588" s="740"/>
      <c r="O1588" s="1401" t="s">
        <v>1109</v>
      </c>
      <c r="P1588" s="177" t="s">
        <v>256</v>
      </c>
      <c r="Q1588" s="740"/>
      <c r="R1588" s="741"/>
      <c r="S1588" s="740"/>
      <c r="T1588" s="740"/>
      <c r="U1588" s="742"/>
      <c r="V1588" s="662"/>
    </row>
    <row r="1589" spans="1:27" s="40" customFormat="1" hidden="1">
      <c r="A1589" s="1110"/>
      <c r="B1589" s="610"/>
      <c r="C1589" s="811" t="s">
        <v>503</v>
      </c>
      <c r="D1589" s="430">
        <v>-1</v>
      </c>
      <c r="E1589" s="653" t="s">
        <v>299</v>
      </c>
      <c r="F1589" s="431">
        <v>0</v>
      </c>
      <c r="G1589" s="430">
        <v>6</v>
      </c>
      <c r="H1589" s="653" t="s">
        <v>299</v>
      </c>
      <c r="I1589" s="431">
        <v>14</v>
      </c>
      <c r="J1589" s="555">
        <v>2</v>
      </c>
      <c r="K1589" s="555">
        <f>SUM(G1589*20+I1589)-(D1589*20+F1589)</f>
        <v>154</v>
      </c>
      <c r="L1589" s="556">
        <v>0.3</v>
      </c>
      <c r="M1589" s="566"/>
      <c r="N1589" s="714">
        <f>L1589*K1589</f>
        <v>46.199999999999996</v>
      </c>
      <c r="O1589" s="618"/>
      <c r="P1589" s="619"/>
      <c r="Q1589" s="566"/>
      <c r="R1589" s="616">
        <f>N1589*J1589</f>
        <v>92.399999999999991</v>
      </c>
      <c r="S1589" s="357" t="s">
        <v>477</v>
      </c>
      <c r="T1589" s="451">
        <v>12</v>
      </c>
      <c r="U1589" s="843" t="s">
        <v>493</v>
      </c>
    </row>
    <row r="1590" spans="1:27" s="40" customFormat="1" ht="30" hidden="1">
      <c r="A1590" s="1110"/>
      <c r="B1590" s="342"/>
      <c r="C1590" s="820" t="s">
        <v>537</v>
      </c>
      <c r="D1590" s="496">
        <v>-1</v>
      </c>
      <c r="E1590" s="606" t="s">
        <v>299</v>
      </c>
      <c r="F1590" s="498">
        <v>0</v>
      </c>
      <c r="G1590" s="496">
        <v>2</v>
      </c>
      <c r="H1590" s="606" t="s">
        <v>299</v>
      </c>
      <c r="I1590" s="498">
        <v>14</v>
      </c>
      <c r="J1590" s="434">
        <v>4</v>
      </c>
      <c r="K1590" s="434">
        <f>3.8*2</f>
        <v>7.6</v>
      </c>
      <c r="L1590" s="558">
        <v>0.3</v>
      </c>
      <c r="M1590" s="505"/>
      <c r="N1590" s="506">
        <f>L1590*K1590</f>
        <v>2.2799999999999998</v>
      </c>
      <c r="O1590" s="406"/>
      <c r="P1590" s="344"/>
      <c r="Q1590" s="507"/>
      <c r="R1590" s="346">
        <f>N1590*J1590</f>
        <v>9.1199999999999992</v>
      </c>
      <c r="S1590" s="340" t="s">
        <v>477</v>
      </c>
      <c r="T1590" s="347">
        <v>12</v>
      </c>
      <c r="U1590" s="830" t="s">
        <v>493</v>
      </c>
    </row>
    <row r="1591" spans="1:27" s="40" customFormat="1" ht="30" hidden="1">
      <c r="A1591" s="1110"/>
      <c r="B1591" s="342"/>
      <c r="C1591" s="820" t="s">
        <v>504</v>
      </c>
      <c r="D1591" s="496">
        <v>2</v>
      </c>
      <c r="E1591" s="606" t="s">
        <v>299</v>
      </c>
      <c r="F1591" s="498">
        <v>14</v>
      </c>
      <c r="G1591" s="496">
        <v>7</v>
      </c>
      <c r="H1591" s="606" t="s">
        <v>299</v>
      </c>
      <c r="I1591" s="498">
        <v>4</v>
      </c>
      <c r="J1591" s="434">
        <v>7</v>
      </c>
      <c r="K1591" s="434">
        <v>3.8</v>
      </c>
      <c r="L1591" s="558">
        <v>0.3</v>
      </c>
      <c r="M1591" s="505"/>
      <c r="N1591" s="506">
        <f>L1591*K1591</f>
        <v>1.1399999999999999</v>
      </c>
      <c r="O1591" s="406"/>
      <c r="P1591" s="344"/>
      <c r="Q1591" s="507"/>
      <c r="R1591" s="346">
        <f>N1591*J1591</f>
        <v>7.9799999999999995</v>
      </c>
      <c r="S1591" s="340" t="s">
        <v>477</v>
      </c>
      <c r="T1591" s="347">
        <v>12</v>
      </c>
      <c r="U1591" s="830" t="s">
        <v>493</v>
      </c>
    </row>
    <row r="1592" spans="1:27" s="176" customFormat="1" hidden="1">
      <c r="A1592" s="1110"/>
      <c r="B1592" s="296"/>
      <c r="C1592" s="339" t="s">
        <v>519</v>
      </c>
      <c r="D1592" s="496">
        <v>6</v>
      </c>
      <c r="E1592" s="606" t="s">
        <v>299</v>
      </c>
      <c r="F1592" s="498">
        <v>9</v>
      </c>
      <c r="G1592" s="496">
        <v>7</v>
      </c>
      <c r="H1592" s="606" t="s">
        <v>299</v>
      </c>
      <c r="I1592" s="498">
        <v>4</v>
      </c>
      <c r="J1592" s="434" t="s">
        <v>300</v>
      </c>
      <c r="K1592" s="434">
        <f>SUM(G1592*20+I1592)-(D1592*20+F1592)</f>
        <v>15</v>
      </c>
      <c r="L1592" s="558">
        <v>0.17</v>
      </c>
      <c r="M1592" s="340"/>
      <c r="N1592" s="477">
        <f>K1592*L1592</f>
        <v>2.5500000000000003</v>
      </c>
      <c r="O1592" s="340"/>
      <c r="P1592" s="461"/>
      <c r="Q1592" s="434">
        <v>2</v>
      </c>
      <c r="R1592" s="462">
        <f t="shared" ref="R1592:R1597" si="213">TRUNC(N1592*Q1592,3)</f>
        <v>5.0999999999999996</v>
      </c>
      <c r="S1592" s="340" t="s">
        <v>151</v>
      </c>
      <c r="T1592" s="347">
        <v>12</v>
      </c>
      <c r="U1592" s="435"/>
      <c r="V1592" s="306">
        <f>V1593</f>
        <v>0</v>
      </c>
      <c r="W1592" s="175"/>
      <c r="X1592" s="175"/>
      <c r="Y1592" s="175"/>
      <c r="Z1592" s="175"/>
      <c r="AA1592" s="175"/>
    </row>
    <row r="1593" spans="1:27" s="176" customFormat="1" ht="30" hidden="1">
      <c r="A1593" s="1110"/>
      <c r="B1593" s="296"/>
      <c r="C1593" s="339" t="s">
        <v>520</v>
      </c>
      <c r="D1593" s="496">
        <v>6</v>
      </c>
      <c r="E1593" s="606" t="s">
        <v>299</v>
      </c>
      <c r="F1593" s="498">
        <v>9</v>
      </c>
      <c r="G1593" s="496">
        <v>7</v>
      </c>
      <c r="H1593" s="606" t="s">
        <v>299</v>
      </c>
      <c r="I1593" s="498">
        <v>4</v>
      </c>
      <c r="J1593" s="434" t="s">
        <v>300</v>
      </c>
      <c r="K1593" s="434">
        <v>3.8</v>
      </c>
      <c r="L1593" s="558">
        <v>0.17</v>
      </c>
      <c r="M1593" s="340"/>
      <c r="N1593" s="477">
        <f>K1593*L1593</f>
        <v>0.64600000000000002</v>
      </c>
      <c r="O1593" s="340"/>
      <c r="P1593" s="461"/>
      <c r="Q1593" s="434">
        <v>4</v>
      </c>
      <c r="R1593" s="462">
        <f t="shared" si="213"/>
        <v>2.5840000000000001</v>
      </c>
      <c r="S1593" s="340" t="s">
        <v>151</v>
      </c>
      <c r="T1593" s="347">
        <v>12</v>
      </c>
      <c r="U1593" s="435" t="s">
        <v>521</v>
      </c>
      <c r="V1593" s="306">
        <f>V1602</f>
        <v>0</v>
      </c>
      <c r="W1593" s="175"/>
      <c r="X1593" s="175"/>
      <c r="Y1593" s="175"/>
      <c r="Z1593" s="175"/>
      <c r="AA1593" s="175"/>
    </row>
    <row r="1594" spans="1:27" s="176" customFormat="1" ht="30" hidden="1">
      <c r="A1594" s="1110"/>
      <c r="B1594" s="296"/>
      <c r="C1594" s="339" t="s">
        <v>520</v>
      </c>
      <c r="D1594" s="496">
        <v>25</v>
      </c>
      <c r="E1594" s="606" t="s">
        <v>299</v>
      </c>
      <c r="F1594" s="498">
        <v>12</v>
      </c>
      <c r="G1594" s="496"/>
      <c r="H1594" s="606"/>
      <c r="I1594" s="498"/>
      <c r="J1594" s="434" t="s">
        <v>300</v>
      </c>
      <c r="K1594" s="434">
        <f>SUM(2.6+1.5)</f>
        <v>4.0999999999999996</v>
      </c>
      <c r="L1594" s="558"/>
      <c r="M1594" s="558">
        <v>3.2</v>
      </c>
      <c r="N1594" s="477">
        <f>K1594*M1594</f>
        <v>13.12</v>
      </c>
      <c r="O1594" s="340"/>
      <c r="P1594" s="461"/>
      <c r="Q1594" s="434">
        <v>1</v>
      </c>
      <c r="R1594" s="462">
        <f t="shared" si="213"/>
        <v>13.12</v>
      </c>
      <c r="S1594" s="340" t="s">
        <v>151</v>
      </c>
      <c r="T1594" s="347">
        <v>24</v>
      </c>
      <c r="U1594" s="435" t="s">
        <v>988</v>
      </c>
      <c r="V1594" s="306">
        <f>V1603</f>
        <v>0</v>
      </c>
      <c r="W1594" s="175"/>
      <c r="X1594" s="175"/>
      <c r="Y1594" s="175"/>
      <c r="Z1594" s="175"/>
      <c r="AA1594" s="175"/>
    </row>
    <row r="1595" spans="1:27" s="176" customFormat="1" ht="30" hidden="1">
      <c r="A1595" s="1110"/>
      <c r="B1595" s="296"/>
      <c r="C1595" s="339" t="s">
        <v>520</v>
      </c>
      <c r="D1595" s="496">
        <v>25</v>
      </c>
      <c r="E1595" s="606" t="s">
        <v>299</v>
      </c>
      <c r="F1595" s="498">
        <v>12</v>
      </c>
      <c r="G1595" s="496"/>
      <c r="H1595" s="606"/>
      <c r="I1595" s="498"/>
      <c r="J1595" s="434" t="s">
        <v>300</v>
      </c>
      <c r="K1595" s="434">
        <f>SUM(2.6+1.5)/2</f>
        <v>2.0499999999999998</v>
      </c>
      <c r="L1595" s="558">
        <v>0.2</v>
      </c>
      <c r="M1595" s="558"/>
      <c r="N1595" s="477">
        <f>K1595*L1595</f>
        <v>0.41</v>
      </c>
      <c r="O1595" s="340"/>
      <c r="P1595" s="461"/>
      <c r="Q1595" s="434">
        <v>2</v>
      </c>
      <c r="R1595" s="462">
        <f t="shared" si="213"/>
        <v>0.82</v>
      </c>
      <c r="S1595" s="340" t="s">
        <v>151</v>
      </c>
      <c r="T1595" s="347">
        <v>24</v>
      </c>
      <c r="U1595" s="435" t="s">
        <v>989</v>
      </c>
      <c r="V1595" s="306">
        <f>V1604</f>
        <v>0</v>
      </c>
      <c r="W1595" s="175"/>
      <c r="X1595" s="175"/>
      <c r="Y1595" s="175"/>
      <c r="Z1595" s="175"/>
      <c r="AA1595" s="175"/>
    </row>
    <row r="1596" spans="1:27" s="176" customFormat="1" ht="30" hidden="1">
      <c r="A1596" s="1110"/>
      <c r="B1596" s="296"/>
      <c r="C1596" s="339" t="s">
        <v>520</v>
      </c>
      <c r="D1596" s="496">
        <v>23</v>
      </c>
      <c r="E1596" s="606" t="s">
        <v>299</v>
      </c>
      <c r="F1596" s="498">
        <v>10</v>
      </c>
      <c r="G1596" s="496"/>
      <c r="H1596" s="606"/>
      <c r="I1596" s="498"/>
      <c r="J1596" s="434" t="s">
        <v>300</v>
      </c>
      <c r="K1596" s="434">
        <v>2</v>
      </c>
      <c r="L1596" s="558">
        <v>0.2</v>
      </c>
      <c r="M1596" s="558"/>
      <c r="N1596" s="477">
        <f>K1596*L1596</f>
        <v>0.4</v>
      </c>
      <c r="O1596" s="340"/>
      <c r="P1596" s="461"/>
      <c r="Q1596" s="434">
        <v>2</v>
      </c>
      <c r="R1596" s="462">
        <f t="shared" si="213"/>
        <v>0.8</v>
      </c>
      <c r="S1596" s="340" t="s">
        <v>151</v>
      </c>
      <c r="T1596" s="347">
        <v>24</v>
      </c>
      <c r="U1596" s="435" t="s">
        <v>990</v>
      </c>
      <c r="V1596" s="306">
        <f>V1605</f>
        <v>0</v>
      </c>
      <c r="W1596" s="175"/>
      <c r="X1596" s="175"/>
      <c r="Y1596" s="175"/>
      <c r="Z1596" s="175"/>
      <c r="AA1596" s="175"/>
    </row>
    <row r="1597" spans="1:27" s="176" customFormat="1" ht="30" hidden="1">
      <c r="A1597" s="1110"/>
      <c r="B1597" s="296"/>
      <c r="C1597" s="339" t="s">
        <v>520</v>
      </c>
      <c r="D1597" s="496">
        <v>23</v>
      </c>
      <c r="E1597" s="606" t="s">
        <v>299</v>
      </c>
      <c r="F1597" s="498">
        <v>10</v>
      </c>
      <c r="G1597" s="496"/>
      <c r="H1597" s="606"/>
      <c r="I1597" s="1503"/>
      <c r="J1597" s="434" t="s">
        <v>300</v>
      </c>
      <c r="K1597" s="434">
        <v>2</v>
      </c>
      <c r="L1597" s="558"/>
      <c r="M1597" s="558">
        <v>3.2</v>
      </c>
      <c r="N1597" s="477">
        <f>K1597*M1597</f>
        <v>6.4</v>
      </c>
      <c r="O1597" s="340"/>
      <c r="P1597" s="461"/>
      <c r="Q1597" s="434">
        <v>1</v>
      </c>
      <c r="R1597" s="462">
        <f t="shared" si="213"/>
        <v>6.4</v>
      </c>
      <c r="S1597" s="340" t="s">
        <v>151</v>
      </c>
      <c r="T1597" s="347">
        <v>24</v>
      </c>
      <c r="U1597" s="435" t="s">
        <v>1028</v>
      </c>
      <c r="V1597" s="306">
        <f>V1606</f>
        <v>0</v>
      </c>
      <c r="W1597" s="175"/>
      <c r="X1597" s="175"/>
      <c r="Y1597" s="175"/>
      <c r="Z1597" s="175"/>
      <c r="AA1597" s="175"/>
    </row>
    <row r="1598" spans="1:27" s="176" customFormat="1" ht="27.75" hidden="1" customHeight="1">
      <c r="A1598" s="1110"/>
      <c r="B1598" s="296"/>
      <c r="C1598" s="987" t="s">
        <v>1029</v>
      </c>
      <c r="D1598" s="560">
        <v>38</v>
      </c>
      <c r="E1598" s="606" t="s">
        <v>299</v>
      </c>
      <c r="F1598" s="463">
        <v>10</v>
      </c>
      <c r="G1598" s="458"/>
      <c r="H1598" s="459"/>
      <c r="I1598" s="460"/>
      <c r="J1598" s="340" t="s">
        <v>300</v>
      </c>
      <c r="K1598" s="340">
        <v>2.5</v>
      </c>
      <c r="L1598" s="340">
        <v>0.2</v>
      </c>
      <c r="M1598" s="340">
        <v>2.5</v>
      </c>
      <c r="N1598" s="340"/>
      <c r="O1598" s="340"/>
      <c r="P1598" s="461"/>
      <c r="Q1598" s="340">
        <v>1</v>
      </c>
      <c r="R1598" s="462">
        <f>SUM(K1598*4)*L1598</f>
        <v>2</v>
      </c>
      <c r="S1598" s="340" t="s">
        <v>1030</v>
      </c>
      <c r="T1598" s="347">
        <v>25</v>
      </c>
      <c r="U1598" s="435" t="s">
        <v>1017</v>
      </c>
      <c r="V1598" s="306"/>
      <c r="W1598" s="175"/>
      <c r="X1598" s="175"/>
      <c r="Y1598" s="175"/>
      <c r="Z1598" s="175"/>
      <c r="AA1598" s="175"/>
    </row>
    <row r="1599" spans="1:27" s="176" customFormat="1" ht="27.75" hidden="1" customHeight="1">
      <c r="A1599" s="1110"/>
      <c r="B1599" s="296"/>
      <c r="C1599" s="987" t="s">
        <v>1029</v>
      </c>
      <c r="D1599" s="496">
        <v>31</v>
      </c>
      <c r="E1599" s="606" t="s">
        <v>299</v>
      </c>
      <c r="F1599" s="498">
        <v>12</v>
      </c>
      <c r="G1599" s="496">
        <v>42</v>
      </c>
      <c r="H1599" s="606" t="s">
        <v>299</v>
      </c>
      <c r="I1599" s="498">
        <v>2</v>
      </c>
      <c r="J1599" s="434" t="s">
        <v>300</v>
      </c>
      <c r="K1599" s="434">
        <f>SUM(G1599*20+I1599)-(D1599*20+F1599)</f>
        <v>210</v>
      </c>
      <c r="L1599" s="558">
        <v>0.2</v>
      </c>
      <c r="M1599" s="340"/>
      <c r="N1599" s="477">
        <f>K1599*L1599</f>
        <v>42</v>
      </c>
      <c r="O1599" s="340"/>
      <c r="P1599" s="461"/>
      <c r="Q1599" s="340">
        <v>2</v>
      </c>
      <c r="R1599" s="462">
        <f>N1599*Q1599</f>
        <v>84</v>
      </c>
      <c r="S1599" s="340" t="s">
        <v>1030</v>
      </c>
      <c r="T1599" s="347">
        <v>27</v>
      </c>
      <c r="U1599" s="435" t="s">
        <v>1110</v>
      </c>
      <c r="V1599" s="306"/>
      <c r="W1599" s="175"/>
      <c r="X1599" s="175"/>
      <c r="Y1599" s="175"/>
      <c r="Z1599" s="175"/>
      <c r="AA1599" s="175"/>
    </row>
    <row r="1600" spans="1:27" s="176" customFormat="1" ht="27.6" hidden="1" customHeight="1">
      <c r="A1600" s="1110"/>
      <c r="B1600" s="296"/>
      <c r="C1600" s="987" t="s">
        <v>1029</v>
      </c>
      <c r="D1600" s="496">
        <v>31</v>
      </c>
      <c r="E1600" s="606" t="s">
        <v>299</v>
      </c>
      <c r="F1600" s="498">
        <v>12</v>
      </c>
      <c r="G1600" s="496">
        <v>42</v>
      </c>
      <c r="H1600" s="606" t="s">
        <v>299</v>
      </c>
      <c r="I1600" s="498">
        <v>2</v>
      </c>
      <c r="J1600" s="434" t="s">
        <v>300</v>
      </c>
      <c r="K1600" s="434">
        <f>SUM(G1600*20+I1600)-(D1600*20+F1600)</f>
        <v>210</v>
      </c>
      <c r="L1600" s="558">
        <v>0.2</v>
      </c>
      <c r="M1600" s="340">
        <v>3</v>
      </c>
      <c r="N1600" s="477"/>
      <c r="O1600" s="340">
        <f>K1600/6</f>
        <v>35</v>
      </c>
      <c r="P1600" s="461"/>
      <c r="Q1600" s="340"/>
      <c r="R1600" s="462">
        <f>SUM(O1600*M1600*L1600)</f>
        <v>21</v>
      </c>
      <c r="S1600" s="340" t="s">
        <v>1030</v>
      </c>
      <c r="T1600" s="347">
        <v>27</v>
      </c>
      <c r="U1600" s="435" t="s">
        <v>1111</v>
      </c>
      <c r="V1600" s="306"/>
      <c r="W1600" s="175"/>
      <c r="X1600" s="175"/>
      <c r="Y1600" s="175"/>
      <c r="Z1600" s="175"/>
      <c r="AA1600" s="175"/>
    </row>
    <row r="1601" spans="1:27" s="765" customFormat="1" ht="27.6" hidden="1" customHeight="1">
      <c r="A1601" s="1771"/>
      <c r="B1601" s="1515"/>
      <c r="C1601" s="1682"/>
      <c r="D1601" s="869"/>
      <c r="E1601" s="1516"/>
      <c r="F1601" s="870"/>
      <c r="G1601" s="869"/>
      <c r="H1601" s="1516"/>
      <c r="I1601" s="870"/>
      <c r="J1601" s="871"/>
      <c r="K1601" s="871"/>
      <c r="L1601" s="1030"/>
      <c r="M1601" s="760"/>
      <c r="N1601" s="1517"/>
      <c r="O1601" s="760"/>
      <c r="P1601" s="873"/>
      <c r="Q1601" s="760"/>
      <c r="R1601" s="962"/>
      <c r="S1601" s="760"/>
      <c r="T1601" s="874"/>
      <c r="U1601" s="1664"/>
      <c r="V1601" s="713"/>
      <c r="W1601" s="688"/>
      <c r="X1601" s="688"/>
      <c r="Y1601" s="688"/>
      <c r="Z1601" s="688"/>
      <c r="AA1601" s="688"/>
    </row>
    <row r="1602" spans="1:27" s="164" customFormat="1" hidden="1">
      <c r="A1602" s="1106"/>
      <c r="B1602" s="239"/>
      <c r="C1602" s="1603"/>
      <c r="D1602" s="2730" t="s">
        <v>257</v>
      </c>
      <c r="E1602" s="2731"/>
      <c r="F1602" s="2731"/>
      <c r="G1602" s="2731"/>
      <c r="H1602" s="2731"/>
      <c r="I1602" s="2732"/>
      <c r="J1602" s="2490">
        <f>VLOOKUP(A1604,'11 - FINANCEIRA'!$A$16:$AE$156,30,FALSE)</f>
        <v>248.27</v>
      </c>
      <c r="K1602" s="2491"/>
      <c r="L1602" s="309" t="str">
        <f>VLOOKUP(A1604,'11 - FINANCEIRA'!_xlnm.Print_Area,4,FALSE)</f>
        <v>M²</v>
      </c>
      <c r="M1602" s="2727" t="s">
        <v>258</v>
      </c>
      <c r="N1602" s="2728"/>
      <c r="O1602" s="2728"/>
      <c r="P1602" s="2728"/>
      <c r="Q1602" s="2729"/>
      <c r="R1602" s="248">
        <f>SUM(R1589:R1601)</f>
        <v>245.32400000000001</v>
      </c>
      <c r="S1602" s="310" t="str">
        <f>L1602</f>
        <v>M²</v>
      </c>
      <c r="T1602" s="321"/>
      <c r="U1602" s="322"/>
      <c r="V1602" s="662"/>
    </row>
    <row r="1603" spans="1:27" s="164" customFormat="1" hidden="1">
      <c r="A1603" s="1106"/>
      <c r="B1603" s="246"/>
      <c r="C1603" s="247"/>
      <c r="D1603" s="2478" t="s">
        <v>259</v>
      </c>
      <c r="E1603" s="2479"/>
      <c r="F1603" s="2479"/>
      <c r="G1603" s="2479"/>
      <c r="H1603" s="2479"/>
      <c r="I1603" s="2480"/>
      <c r="J1603" s="2484">
        <f>R1602/J1602</f>
        <v>0.98813388649454226</v>
      </c>
      <c r="K1603" s="2485"/>
      <c r="L1603" s="743"/>
      <c r="M1603" s="2727" t="s">
        <v>260</v>
      </c>
      <c r="N1603" s="2728"/>
      <c r="O1603" s="2728"/>
      <c r="P1603" s="2728"/>
      <c r="Q1603" s="2729"/>
      <c r="R1603" s="248">
        <f>VLOOKUP(A1604,'11 - FINANCEIRA'!_xlnm.Print_Area,8,FALSE)</f>
        <v>245.32400000000001</v>
      </c>
      <c r="S1603" s="249" t="str">
        <f>L1602</f>
        <v>M²</v>
      </c>
      <c r="T1603" s="244"/>
      <c r="U1603" s="245"/>
      <c r="V1603" s="662"/>
    </row>
    <row r="1604" spans="1:27" s="164" customFormat="1" hidden="1">
      <c r="A1604" s="1106" t="s">
        <v>437</v>
      </c>
      <c r="B1604" s="250"/>
      <c r="C1604" s="598"/>
      <c r="D1604" s="2481"/>
      <c r="E1604" s="2482"/>
      <c r="F1604" s="2482"/>
      <c r="G1604" s="2482"/>
      <c r="H1604" s="2482"/>
      <c r="I1604" s="2483"/>
      <c r="J1604" s="2486"/>
      <c r="K1604" s="2487"/>
      <c r="L1604" s="751"/>
      <c r="M1604" s="2727" t="s">
        <v>261</v>
      </c>
      <c r="N1604" s="2728"/>
      <c r="O1604" s="2728"/>
      <c r="P1604" s="2728"/>
      <c r="Q1604" s="2729"/>
      <c r="R1604" s="248">
        <f>R1602-R1603</f>
        <v>0</v>
      </c>
      <c r="S1604" s="249" t="str">
        <f>L1602</f>
        <v>M²</v>
      </c>
      <c r="T1604" s="562"/>
      <c r="U1604" s="563"/>
      <c r="V1604" s="662"/>
    </row>
    <row r="1605" spans="1:27" s="164" customFormat="1" hidden="1">
      <c r="A1605" s="1770"/>
      <c r="B1605" s="660"/>
      <c r="D1605" s="661"/>
      <c r="E1605" s="662"/>
      <c r="F1605" s="663"/>
      <c r="G1605" s="661"/>
      <c r="I1605" s="663"/>
      <c r="K1605" s="664"/>
      <c r="L1605" s="664"/>
      <c r="N1605" s="511"/>
      <c r="O1605" s="662"/>
      <c r="Q1605" s="665"/>
      <c r="R1605" s="666"/>
      <c r="S1605" s="667"/>
      <c r="U1605" s="662"/>
      <c r="V1605" s="662"/>
    </row>
    <row r="1606" spans="1:27" s="164" customFormat="1" ht="31.5">
      <c r="A1606" s="1106"/>
      <c r="B1606" s="717" t="str">
        <f>VLOOKUP(A1616,'11 - FINANCEIRA'!_xlnm.Print_Area,2,FALSE)</f>
        <v>7260100050 - CESAN</v>
      </c>
      <c r="C1606" s="785" t="str">
        <f>VLOOKUP(A1616,'11 - FINANCEIRA'!_xlnm.Print_Area,3,FALSE)</f>
        <v>Rede esgoto pvc nbr 7362 150mm 1,26 a 1,75 s/ pav</v>
      </c>
      <c r="D1606" s="2472" t="s">
        <v>242</v>
      </c>
      <c r="E1606" s="2473"/>
      <c r="F1606" s="2473"/>
      <c r="G1606" s="2473"/>
      <c r="H1606" s="2473"/>
      <c r="I1606" s="2474"/>
      <c r="J1606" s="733" t="s">
        <v>373</v>
      </c>
      <c r="K1606" s="733" t="s">
        <v>244</v>
      </c>
      <c r="L1606" s="733" t="s">
        <v>245</v>
      </c>
      <c r="M1606" s="733" t="s">
        <v>246</v>
      </c>
      <c r="N1606" s="733" t="s">
        <v>247</v>
      </c>
      <c r="O1606" s="733" t="s">
        <v>248</v>
      </c>
      <c r="P1606" s="173" t="s">
        <v>543</v>
      </c>
      <c r="Q1606" s="716" t="s">
        <v>250</v>
      </c>
      <c r="R1606" s="734" t="s">
        <v>139</v>
      </c>
      <c r="S1606" s="733" t="s">
        <v>251</v>
      </c>
      <c r="T1606" s="733" t="s">
        <v>252</v>
      </c>
      <c r="U1606" s="735" t="s">
        <v>253</v>
      </c>
      <c r="V1606" s="662"/>
    </row>
    <row r="1607" spans="1:27" s="164" customFormat="1">
      <c r="A1607" s="1106"/>
      <c r="B1607" s="718"/>
      <c r="C1607" s="736"/>
      <c r="D1607" s="2475" t="s">
        <v>254</v>
      </c>
      <c r="E1607" s="2476"/>
      <c r="F1607" s="2477"/>
      <c r="G1607" s="2469" t="s">
        <v>255</v>
      </c>
      <c r="H1607" s="2470"/>
      <c r="I1607" s="2471"/>
      <c r="J1607" s="740"/>
      <c r="K1607" s="740"/>
      <c r="L1607" s="740"/>
      <c r="M1607" s="740"/>
      <c r="N1607" s="740"/>
      <c r="O1607" s="740"/>
      <c r="P1607" s="177"/>
      <c r="Q1607" s="740"/>
      <c r="R1607" s="741"/>
      <c r="S1607" s="740"/>
      <c r="T1607" s="740"/>
      <c r="U1607" s="742"/>
      <c r="V1607" s="662"/>
    </row>
    <row r="1608" spans="1:27" s="40" customFormat="1" ht="20.25">
      <c r="A1608" s="1110"/>
      <c r="B1608" s="336"/>
      <c r="C1608" s="831" t="s">
        <v>538</v>
      </c>
      <c r="D1608" s="469">
        <v>-1</v>
      </c>
      <c r="E1608" s="605" t="s">
        <v>299</v>
      </c>
      <c r="F1608" s="471">
        <v>0</v>
      </c>
      <c r="G1608" s="469">
        <v>5</v>
      </c>
      <c r="H1608" s="605" t="s">
        <v>299</v>
      </c>
      <c r="I1608" s="471">
        <v>0</v>
      </c>
      <c r="J1608" s="489">
        <v>1</v>
      </c>
      <c r="K1608" s="489">
        <f>SUM(G1608*20+I1608)-(D1608*20+F1608)</f>
        <v>120</v>
      </c>
      <c r="L1608" s="548"/>
      <c r="M1608" s="486"/>
      <c r="N1608" s="470"/>
      <c r="O1608" s="485"/>
      <c r="P1608" s="338"/>
      <c r="Q1608" s="486"/>
      <c r="R1608" s="191">
        <f>K1608*J1608</f>
        <v>120</v>
      </c>
      <c r="S1608" s="275" t="s">
        <v>144</v>
      </c>
      <c r="T1608" s="276">
        <v>12</v>
      </c>
      <c r="U1608" s="882"/>
    </row>
    <row r="1609" spans="1:27" s="40" customFormat="1" ht="20.25">
      <c r="A1609" s="1110"/>
      <c r="B1609" s="342"/>
      <c r="C1609" s="820" t="s">
        <v>539</v>
      </c>
      <c r="D1609" s="496">
        <v>-1</v>
      </c>
      <c r="E1609" s="606" t="s">
        <v>299</v>
      </c>
      <c r="F1609" s="498">
        <v>0</v>
      </c>
      <c r="G1609" s="496">
        <v>3</v>
      </c>
      <c r="H1609" s="606" t="s">
        <v>299</v>
      </c>
      <c r="I1609" s="498">
        <v>0</v>
      </c>
      <c r="J1609" s="434">
        <v>1</v>
      </c>
      <c r="K1609" s="434">
        <f>SUM(G1609*20+I1609)-(D1609*20+F1609)</f>
        <v>80</v>
      </c>
      <c r="L1609" s="558"/>
      <c r="M1609" s="505"/>
      <c r="N1609" s="506"/>
      <c r="O1609" s="406"/>
      <c r="P1609" s="344"/>
      <c r="Q1609" s="507"/>
      <c r="R1609" s="462">
        <f>K1609*J1609</f>
        <v>80</v>
      </c>
      <c r="S1609" s="340" t="s">
        <v>144</v>
      </c>
      <c r="T1609" s="347">
        <v>12</v>
      </c>
      <c r="U1609" s="883"/>
    </row>
    <row r="1610" spans="1:27" s="40" customFormat="1" ht="20.25">
      <c r="A1610" s="1110"/>
      <c r="B1610" s="342"/>
      <c r="C1610" s="820" t="s">
        <v>1036</v>
      </c>
      <c r="D1610" s="496">
        <f>D1763</f>
        <v>35</v>
      </c>
      <c r="E1610" s="606" t="str">
        <f t="shared" ref="E1610:I1612" si="214">E1763</f>
        <v>+</v>
      </c>
      <c r="F1610" s="498">
        <f t="shared" si="214"/>
        <v>14</v>
      </c>
      <c r="G1610" s="496">
        <f t="shared" si="214"/>
        <v>39</v>
      </c>
      <c r="H1610" s="606" t="str">
        <f t="shared" si="214"/>
        <v>+</v>
      </c>
      <c r="I1610" s="498">
        <f t="shared" si="214"/>
        <v>16</v>
      </c>
      <c r="J1610" s="434">
        <v>1</v>
      </c>
      <c r="K1610" s="434">
        <f>SUM(G1610*20+I1610)-(D1610*20+F1610)</f>
        <v>82</v>
      </c>
      <c r="L1610" s="558"/>
      <c r="M1610" s="505"/>
      <c r="N1610" s="506"/>
      <c r="O1610" s="406"/>
      <c r="P1610" s="344"/>
      <c r="Q1610" s="507"/>
      <c r="R1610" s="462">
        <f t="shared" ref="R1610" si="215">K1610*J1610</f>
        <v>82</v>
      </c>
      <c r="S1610" s="340" t="s">
        <v>144</v>
      </c>
      <c r="T1610" s="347">
        <v>25</v>
      </c>
      <c r="U1610" s="883"/>
    </row>
    <row r="1611" spans="1:27" s="40" customFormat="1" ht="20.25">
      <c r="A1611" s="1110"/>
      <c r="B1611" s="342"/>
      <c r="C1611" s="820" t="s">
        <v>1036</v>
      </c>
      <c r="D1611" s="496">
        <v>39</v>
      </c>
      <c r="E1611" s="606" t="str">
        <f t="shared" si="214"/>
        <v>+</v>
      </c>
      <c r="F1611" s="498">
        <v>16</v>
      </c>
      <c r="G1611" s="496">
        <v>42</v>
      </c>
      <c r="H1611" s="606" t="str">
        <f t="shared" si="214"/>
        <v>+</v>
      </c>
      <c r="I1611" s="498">
        <v>2</v>
      </c>
      <c r="J1611" s="434">
        <v>1</v>
      </c>
      <c r="K1611" s="434">
        <f>SUM(G1611*20+I1611)-(D1611*20+F1611)</f>
        <v>46</v>
      </c>
      <c r="L1611" s="558"/>
      <c r="M1611" s="505"/>
      <c r="N1611" s="506"/>
      <c r="O1611" s="406"/>
      <c r="P1611" s="344"/>
      <c r="Q1611" s="507"/>
      <c r="R1611" s="462">
        <f t="shared" ref="R1611" si="216">K1611*J1611</f>
        <v>46</v>
      </c>
      <c r="S1611" s="340" t="s">
        <v>144</v>
      </c>
      <c r="T1611" s="347">
        <v>27</v>
      </c>
      <c r="U1611" s="883"/>
    </row>
    <row r="1612" spans="1:27" s="39" customFormat="1" ht="20.25">
      <c r="A1612" s="1771"/>
      <c r="B1612" s="756"/>
      <c r="C1612" s="766" t="s">
        <v>1036</v>
      </c>
      <c r="D1612" s="436">
        <v>42</v>
      </c>
      <c r="E1612" s="794" t="str">
        <f t="shared" si="214"/>
        <v>+</v>
      </c>
      <c r="F1612" s="437">
        <v>2</v>
      </c>
      <c r="G1612" s="436">
        <v>43</v>
      </c>
      <c r="H1612" s="794" t="str">
        <f t="shared" si="214"/>
        <v>+</v>
      </c>
      <c r="I1612" s="437">
        <v>14</v>
      </c>
      <c r="J1612" s="439">
        <v>1</v>
      </c>
      <c r="K1612" s="439">
        <f>SUM(G1612*20+I1612)-(D1612*20+F1612)</f>
        <v>32</v>
      </c>
      <c r="L1612" s="553"/>
      <c r="M1612" s="799"/>
      <c r="N1612" s="800"/>
      <c r="O1612" s="758"/>
      <c r="P1612" s="440"/>
      <c r="Q1612" s="801"/>
      <c r="R1612" s="454">
        <f t="shared" ref="R1612" si="217">K1612*J1612</f>
        <v>32</v>
      </c>
      <c r="S1612" s="438" t="s">
        <v>144</v>
      </c>
      <c r="T1612" s="441">
        <v>28</v>
      </c>
      <c r="U1612" s="2300"/>
    </row>
    <row r="1613" spans="1:27" s="39" customFormat="1" ht="20.25">
      <c r="A1613" s="1771"/>
      <c r="B1613" s="1386"/>
      <c r="C1613" s="1014"/>
      <c r="D1613" s="1214"/>
      <c r="E1613" s="2129"/>
      <c r="F1613" s="1730"/>
      <c r="G1613" s="2129"/>
      <c r="H1613" s="2129"/>
      <c r="I1613" s="1215"/>
      <c r="J1613" s="1492"/>
      <c r="K1613" s="1492"/>
      <c r="L1613" s="1408"/>
      <c r="M1613" s="1706"/>
      <c r="N1613" s="1706"/>
      <c r="O1613" s="1707"/>
      <c r="P1613" s="1706"/>
      <c r="Q1613" s="1707"/>
      <c r="R1613" s="1219"/>
      <c r="S1613" s="1174"/>
      <c r="T1613" s="999"/>
      <c r="U1613" s="1590"/>
    </row>
    <row r="1614" spans="1:27" s="164" customFormat="1">
      <c r="A1614" s="1106"/>
      <c r="B1614" s="239"/>
      <c r="C1614" s="1603"/>
      <c r="D1614" s="2730" t="s">
        <v>257</v>
      </c>
      <c r="E1614" s="2731"/>
      <c r="F1614" s="2731"/>
      <c r="G1614" s="2731"/>
      <c r="H1614" s="2731"/>
      <c r="I1614" s="2732"/>
      <c r="J1614" s="2490">
        <f>VLOOKUP(A1616,'11 - FINANCEIRA'!$A$16:$AE$156,30,FALSE)</f>
        <v>444</v>
      </c>
      <c r="K1614" s="2491"/>
      <c r="L1614" s="309" t="str">
        <f>VLOOKUP(A1616,'11 - FINANCEIRA'!_xlnm.Print_Area,4,FALSE)</f>
        <v>m</v>
      </c>
      <c r="M1614" s="2727" t="s">
        <v>258</v>
      </c>
      <c r="N1614" s="2728"/>
      <c r="O1614" s="2728"/>
      <c r="P1614" s="2728"/>
      <c r="Q1614" s="2729"/>
      <c r="R1614" s="248">
        <f>SUM(R1608:R1612)</f>
        <v>360</v>
      </c>
      <c r="S1614" s="310" t="str">
        <f>L1614</f>
        <v>m</v>
      </c>
      <c r="T1614" s="321"/>
      <c r="U1614" s="322"/>
      <c r="V1614" s="662"/>
    </row>
    <row r="1615" spans="1:27" s="164" customFormat="1">
      <c r="A1615" s="1106"/>
      <c r="B1615" s="1123"/>
      <c r="C1615" s="2182"/>
      <c r="D1615" s="2478" t="s">
        <v>259</v>
      </c>
      <c r="E1615" s="2479"/>
      <c r="F1615" s="2479"/>
      <c r="G1615" s="2479"/>
      <c r="H1615" s="2479"/>
      <c r="I1615" s="2480"/>
      <c r="J1615" s="2484">
        <f>R1614/J1614</f>
        <v>0.81081081081081086</v>
      </c>
      <c r="K1615" s="2485"/>
      <c r="L1615" s="743"/>
      <c r="M1615" s="2727" t="s">
        <v>260</v>
      </c>
      <c r="N1615" s="2728"/>
      <c r="O1615" s="2728"/>
      <c r="P1615" s="2728"/>
      <c r="Q1615" s="2729"/>
      <c r="R1615" s="248">
        <f>VLOOKUP(A1616,'11 - FINANCEIRA'!_xlnm.Print_Area,8,FALSE)</f>
        <v>328</v>
      </c>
      <c r="S1615" s="249" t="str">
        <f>L1614</f>
        <v>m</v>
      </c>
      <c r="T1615" s="244"/>
      <c r="U1615" s="1124"/>
      <c r="V1615" s="662"/>
    </row>
    <row r="1616" spans="1:27" s="164" customFormat="1">
      <c r="A1616" s="1106" t="s">
        <v>438</v>
      </c>
      <c r="B1616" s="250"/>
      <c r="C1616" s="598"/>
      <c r="D1616" s="2481"/>
      <c r="E1616" s="2482"/>
      <c r="F1616" s="2482"/>
      <c r="G1616" s="2482"/>
      <c r="H1616" s="2482"/>
      <c r="I1616" s="2483"/>
      <c r="J1616" s="2486"/>
      <c r="K1616" s="2487"/>
      <c r="L1616" s="751"/>
      <c r="M1616" s="2727" t="s">
        <v>261</v>
      </c>
      <c r="N1616" s="2728"/>
      <c r="O1616" s="2728"/>
      <c r="P1616" s="2728"/>
      <c r="Q1616" s="2729"/>
      <c r="R1616" s="248">
        <f>R1614-R1615</f>
        <v>32</v>
      </c>
      <c r="S1616" s="249" t="str">
        <f>L1614</f>
        <v>m</v>
      </c>
      <c r="T1616" s="562"/>
      <c r="U1616" s="563"/>
      <c r="V1616" s="662"/>
    </row>
    <row r="1617" spans="1:22" s="164" customFormat="1" ht="31.5" hidden="1">
      <c r="A1617" s="1106"/>
      <c r="B1617" s="2097" t="str">
        <f>VLOOKUP(A1626,'11 - FINANCEIRA'!_xlnm.Print_Area,2,FALSE)</f>
        <v>7200100010 - CESAN</v>
      </c>
      <c r="C1617" s="2164" t="str">
        <f>VLOOKUP(A1626,'11 - FINANCEIRA'!_xlnm.Print_Area,3,FALSE)</f>
        <v>Ligação Predial esgoto longa c/mat s/Pav</v>
      </c>
      <c r="D1617" s="2626" t="s">
        <v>242</v>
      </c>
      <c r="E1617" s="2627"/>
      <c r="F1617" s="2627"/>
      <c r="G1617" s="2627"/>
      <c r="H1617" s="2627"/>
      <c r="I1617" s="2628"/>
      <c r="J1617" s="2165" t="s">
        <v>373</v>
      </c>
      <c r="K1617" s="2165" t="s">
        <v>244</v>
      </c>
      <c r="L1617" s="2165" t="s">
        <v>245</v>
      </c>
      <c r="M1617" s="2165" t="s">
        <v>246</v>
      </c>
      <c r="N1617" s="2165" t="s">
        <v>247</v>
      </c>
      <c r="O1617" s="2165" t="s">
        <v>248</v>
      </c>
      <c r="P1617" s="2100" t="s">
        <v>249</v>
      </c>
      <c r="Q1617" s="2098" t="s">
        <v>250</v>
      </c>
      <c r="R1617" s="2166" t="s">
        <v>139</v>
      </c>
      <c r="S1617" s="2165" t="s">
        <v>251</v>
      </c>
      <c r="T1617" s="2165" t="s">
        <v>252</v>
      </c>
      <c r="U1617" s="2167" t="s">
        <v>253</v>
      </c>
      <c r="V1617" s="662"/>
    </row>
    <row r="1618" spans="1:22" s="164" customFormat="1" hidden="1">
      <c r="A1618" s="1106"/>
      <c r="B1618" s="718"/>
      <c r="C1618" s="736"/>
      <c r="D1618" s="2475" t="s">
        <v>254</v>
      </c>
      <c r="E1618" s="2476"/>
      <c r="F1618" s="2477"/>
      <c r="G1618" s="2469" t="s">
        <v>255</v>
      </c>
      <c r="H1618" s="2470"/>
      <c r="I1618" s="2471"/>
      <c r="J1618" s="740"/>
      <c r="K1618" s="740"/>
      <c r="L1618" s="740"/>
      <c r="M1618" s="740"/>
      <c r="N1618" s="740"/>
      <c r="O1618" s="740"/>
      <c r="P1618" s="177" t="s">
        <v>256</v>
      </c>
      <c r="Q1618" s="740"/>
      <c r="R1618" s="741"/>
      <c r="S1618" s="740"/>
      <c r="T1618" s="740"/>
      <c r="U1618" s="742"/>
      <c r="V1618" s="662"/>
    </row>
    <row r="1619" spans="1:22" s="40" customFormat="1" ht="20.25" hidden="1">
      <c r="A1619" s="1110"/>
      <c r="B1619" s="296"/>
      <c r="C1619" s="835" t="s">
        <v>505</v>
      </c>
      <c r="D1619" s="844">
        <v>-1</v>
      </c>
      <c r="E1619" s="845" t="s">
        <v>299</v>
      </c>
      <c r="F1619" s="816">
        <v>0</v>
      </c>
      <c r="G1619" s="844">
        <v>5</v>
      </c>
      <c r="H1619" s="845" t="s">
        <v>299</v>
      </c>
      <c r="I1619" s="816">
        <v>0</v>
      </c>
      <c r="J1619" s="489">
        <v>10</v>
      </c>
      <c r="K1619" s="489"/>
      <c r="L1619" s="548"/>
      <c r="M1619" s="486"/>
      <c r="N1619" s="470"/>
      <c r="O1619" s="485"/>
      <c r="P1619" s="338"/>
      <c r="Q1619" s="486"/>
      <c r="R1619" s="191">
        <f>J1619</f>
        <v>10</v>
      </c>
      <c r="S1619" s="340" t="s">
        <v>506</v>
      </c>
      <c r="T1619" s="355">
        <v>12</v>
      </c>
      <c r="U1619" s="837"/>
    </row>
    <row r="1620" spans="1:22" s="40" customFormat="1" ht="20.25" hidden="1">
      <c r="A1620" s="1110"/>
      <c r="B1620" s="342"/>
      <c r="C1620" s="820" t="s">
        <v>507</v>
      </c>
      <c r="D1620" s="844">
        <v>-1</v>
      </c>
      <c r="E1620" s="845" t="s">
        <v>299</v>
      </c>
      <c r="F1620" s="816">
        <v>0</v>
      </c>
      <c r="G1620" s="844">
        <v>3</v>
      </c>
      <c r="H1620" s="845" t="s">
        <v>299</v>
      </c>
      <c r="I1620" s="816">
        <v>0</v>
      </c>
      <c r="J1620" s="650">
        <v>10</v>
      </c>
      <c r="K1620" s="434"/>
      <c r="L1620" s="558"/>
      <c r="M1620" s="505"/>
      <c r="N1620" s="506"/>
      <c r="O1620" s="406"/>
      <c r="P1620" s="344"/>
      <c r="Q1620" s="507"/>
      <c r="R1620" s="462">
        <f>J1620</f>
        <v>10</v>
      </c>
      <c r="S1620" s="340" t="s">
        <v>506</v>
      </c>
      <c r="T1620" s="355">
        <v>12</v>
      </c>
      <c r="U1620" s="837"/>
    </row>
    <row r="1621" spans="1:22" s="40" customFormat="1" ht="20.25" hidden="1">
      <c r="A1621" s="1110"/>
      <c r="B1621" s="342"/>
      <c r="C1621" s="820" t="s">
        <v>507</v>
      </c>
      <c r="D1621" s="844">
        <v>-1</v>
      </c>
      <c r="E1621" s="845" t="s">
        <v>299</v>
      </c>
      <c r="F1621" s="816">
        <v>0</v>
      </c>
      <c r="G1621" s="844">
        <v>3</v>
      </c>
      <c r="H1621" s="845" t="s">
        <v>299</v>
      </c>
      <c r="I1621" s="816">
        <v>0</v>
      </c>
      <c r="J1621" s="650">
        <v>10</v>
      </c>
      <c r="K1621" s="434"/>
      <c r="L1621" s="558"/>
      <c r="M1621" s="505"/>
      <c r="N1621" s="506"/>
      <c r="O1621" s="406"/>
      <c r="P1621" s="344"/>
      <c r="Q1621" s="507"/>
      <c r="R1621" s="462">
        <f>J1621</f>
        <v>10</v>
      </c>
      <c r="S1621" s="340" t="s">
        <v>506</v>
      </c>
      <c r="T1621" s="355">
        <v>12</v>
      </c>
      <c r="U1621" s="837"/>
    </row>
    <row r="1622" spans="1:22" s="40" customFormat="1" ht="20.25" hidden="1">
      <c r="A1622" s="1110"/>
      <c r="B1622" s="358"/>
      <c r="C1622" s="820" t="s">
        <v>507</v>
      </c>
      <c r="D1622" s="844">
        <v>25</v>
      </c>
      <c r="E1622" s="845" t="s">
        <v>299</v>
      </c>
      <c r="F1622" s="816">
        <v>16</v>
      </c>
      <c r="G1622" s="844">
        <v>31</v>
      </c>
      <c r="H1622" s="845" t="s">
        <v>299</v>
      </c>
      <c r="I1622" s="816">
        <v>12</v>
      </c>
      <c r="J1622" s="650">
        <v>10</v>
      </c>
      <c r="K1622" s="434"/>
      <c r="L1622" s="558"/>
      <c r="M1622" s="505"/>
      <c r="N1622" s="506"/>
      <c r="O1622" s="406"/>
      <c r="P1622" s="344"/>
      <c r="Q1622" s="507"/>
      <c r="R1622" s="462">
        <v>5</v>
      </c>
      <c r="S1622" s="340" t="s">
        <v>506</v>
      </c>
      <c r="T1622" s="355">
        <v>22</v>
      </c>
      <c r="U1622" s="837"/>
    </row>
    <row r="1623" spans="1:22" s="40" customFormat="1" ht="20.25" hidden="1">
      <c r="A1623" s="1110"/>
      <c r="B1623" s="1369"/>
      <c r="C1623" s="1151"/>
      <c r="D1623" s="1234"/>
      <c r="E1623" s="653"/>
      <c r="F1623" s="1157"/>
      <c r="G1623" s="653"/>
      <c r="H1623" s="653"/>
      <c r="I1623" s="1235"/>
      <c r="J1623" s="1234"/>
      <c r="K1623" s="1710"/>
      <c r="L1623" s="1709"/>
      <c r="M1623" s="362"/>
      <c r="N1623" s="362"/>
      <c r="O1623" s="368"/>
      <c r="P1623" s="362"/>
      <c r="Q1623" s="368"/>
      <c r="R1623" s="1121"/>
      <c r="S1623" s="1136"/>
      <c r="T1623" s="1028"/>
      <c r="U1623" s="837"/>
    </row>
    <row r="1624" spans="1:22" s="164" customFormat="1" hidden="1">
      <c r="A1624" s="1106"/>
      <c r="B1624" s="239"/>
      <c r="C1624" s="1603"/>
      <c r="D1624" s="2730" t="s">
        <v>257</v>
      </c>
      <c r="E1624" s="2731"/>
      <c r="F1624" s="2731"/>
      <c r="G1624" s="2731"/>
      <c r="H1624" s="2731"/>
      <c r="I1624" s="2732"/>
      <c r="J1624" s="2490">
        <f>VLOOKUP(A1626,'11 - FINANCEIRA'!_xlnm.Print_Area,28,FALSE)</f>
        <v>35</v>
      </c>
      <c r="K1624" s="2491"/>
      <c r="L1624" s="309" t="str">
        <f>VLOOKUP(A1626,'11 - FINANCEIRA'!_xlnm.Print_Area,4,FALSE)</f>
        <v>UND</v>
      </c>
      <c r="M1624" s="2727" t="s">
        <v>258</v>
      </c>
      <c r="N1624" s="2728"/>
      <c r="O1624" s="2728"/>
      <c r="P1624" s="2728"/>
      <c r="Q1624" s="2729"/>
      <c r="R1624" s="248">
        <f>SUM(R1619:R1622)</f>
        <v>35</v>
      </c>
      <c r="S1624" s="310" t="str">
        <f>L1624</f>
        <v>UND</v>
      </c>
      <c r="T1624" s="321"/>
      <c r="U1624" s="322"/>
      <c r="V1624" s="662"/>
    </row>
    <row r="1625" spans="1:22" s="164" customFormat="1" hidden="1">
      <c r="A1625" s="1106"/>
      <c r="B1625" s="246"/>
      <c r="C1625" s="247"/>
      <c r="D1625" s="2478" t="s">
        <v>259</v>
      </c>
      <c r="E1625" s="2479"/>
      <c r="F1625" s="2479"/>
      <c r="G1625" s="2479"/>
      <c r="H1625" s="2479"/>
      <c r="I1625" s="2480"/>
      <c r="J1625" s="2484">
        <f>R1624/J1624</f>
        <v>1</v>
      </c>
      <c r="K1625" s="2485"/>
      <c r="L1625" s="743"/>
      <c r="M1625" s="2727" t="s">
        <v>260</v>
      </c>
      <c r="N1625" s="2728"/>
      <c r="O1625" s="2728"/>
      <c r="P1625" s="2728"/>
      <c r="Q1625" s="2729"/>
      <c r="R1625" s="248">
        <f>VLOOKUP(A1626,'11 - FINANCEIRA'!_xlnm.Print_Area,8,FALSE)</f>
        <v>35</v>
      </c>
      <c r="S1625" s="249" t="str">
        <f>L1624</f>
        <v>UND</v>
      </c>
      <c r="T1625" s="244"/>
      <c r="U1625" s="245"/>
      <c r="V1625" s="662"/>
    </row>
    <row r="1626" spans="1:22" s="164" customFormat="1" hidden="1">
      <c r="A1626" s="1106" t="s">
        <v>439</v>
      </c>
      <c r="B1626" s="250"/>
      <c r="C1626" s="598"/>
      <c r="D1626" s="2481"/>
      <c r="E1626" s="2482"/>
      <c r="F1626" s="2482"/>
      <c r="G1626" s="2482"/>
      <c r="H1626" s="2482"/>
      <c r="I1626" s="2483"/>
      <c r="J1626" s="2486"/>
      <c r="K1626" s="2487"/>
      <c r="L1626" s="751"/>
      <c r="M1626" s="2727" t="s">
        <v>261</v>
      </c>
      <c r="N1626" s="2728"/>
      <c r="O1626" s="2728"/>
      <c r="P1626" s="2728"/>
      <c r="Q1626" s="2729"/>
      <c r="R1626" s="248">
        <f>R1624-R1625</f>
        <v>0</v>
      </c>
      <c r="S1626" s="249" t="str">
        <f>L1624</f>
        <v>UND</v>
      </c>
      <c r="T1626" s="562"/>
      <c r="U1626" s="563"/>
      <c r="V1626" s="662"/>
    </row>
    <row r="1627" spans="1:22" s="164" customFormat="1" hidden="1">
      <c r="A1627" s="1770"/>
      <c r="B1627" s="660"/>
      <c r="D1627" s="661"/>
      <c r="E1627" s="662"/>
      <c r="F1627" s="663"/>
      <c r="G1627" s="661"/>
      <c r="I1627" s="663"/>
      <c r="K1627" s="664"/>
      <c r="L1627" s="664"/>
      <c r="N1627" s="511"/>
      <c r="O1627" s="662"/>
      <c r="Q1627" s="665"/>
      <c r="R1627" s="666"/>
      <c r="S1627" s="667"/>
      <c r="U1627" s="662"/>
      <c r="V1627" s="662"/>
    </row>
    <row r="1628" spans="1:22" s="164" customFormat="1" ht="21" hidden="1" customHeight="1">
      <c r="A1628" s="1106"/>
      <c r="B1628" s="2463" t="str">
        <f>VLOOKUP(A1636,'11 - FINANCEIRA'!_xlnm.Print_Area,2,FALSE)</f>
        <v>7010100050 - CESAN</v>
      </c>
      <c r="C1628" s="785" t="str">
        <f>VLOOKUP(A1636,'11 - FINANCEIRA'!_xlnm.Print_Area,3,FALSE)</f>
        <v>Barração para refeitorio</v>
      </c>
      <c r="D1628" s="2472" t="s">
        <v>242</v>
      </c>
      <c r="E1628" s="2473"/>
      <c r="F1628" s="2473"/>
      <c r="G1628" s="2473"/>
      <c r="H1628" s="2473"/>
      <c r="I1628" s="2474"/>
      <c r="J1628" s="733" t="s">
        <v>373</v>
      </c>
      <c r="K1628" s="2467" t="s">
        <v>244</v>
      </c>
      <c r="L1628" s="733" t="s">
        <v>245</v>
      </c>
      <c r="M1628" s="733" t="s">
        <v>246</v>
      </c>
      <c r="N1628" s="733" t="s">
        <v>247</v>
      </c>
      <c r="O1628" s="733" t="s">
        <v>248</v>
      </c>
      <c r="P1628" s="173" t="s">
        <v>249</v>
      </c>
      <c r="Q1628" s="716" t="s">
        <v>250</v>
      </c>
      <c r="R1628" s="734" t="s">
        <v>139</v>
      </c>
      <c r="S1628" s="733" t="s">
        <v>251</v>
      </c>
      <c r="T1628" s="733" t="s">
        <v>252</v>
      </c>
      <c r="U1628" s="735" t="s">
        <v>253</v>
      </c>
      <c r="V1628" s="662"/>
    </row>
    <row r="1629" spans="1:22" s="164" customFormat="1" hidden="1">
      <c r="A1629" s="1106"/>
      <c r="B1629" s="2464"/>
      <c r="C1629" s="736"/>
      <c r="D1629" s="2475" t="s">
        <v>254</v>
      </c>
      <c r="E1629" s="2476"/>
      <c r="F1629" s="2477"/>
      <c r="G1629" s="2469" t="s">
        <v>255</v>
      </c>
      <c r="H1629" s="2470"/>
      <c r="I1629" s="2471"/>
      <c r="J1629" s="740"/>
      <c r="K1629" s="2468"/>
      <c r="L1629" s="740"/>
      <c r="M1629" s="740"/>
      <c r="N1629" s="740"/>
      <c r="O1629" s="740"/>
      <c r="P1629" s="177" t="s">
        <v>256</v>
      </c>
      <c r="Q1629" s="740"/>
      <c r="R1629" s="741"/>
      <c r="S1629" s="740"/>
      <c r="T1629" s="740"/>
      <c r="U1629" s="742"/>
      <c r="V1629" s="662"/>
    </row>
    <row r="1630" spans="1:22" s="40" customFormat="1" ht="20.25" hidden="1">
      <c r="A1630" s="1110"/>
      <c r="B1630" s="296"/>
      <c r="C1630" s="835" t="s">
        <v>556</v>
      </c>
      <c r="D1630" s="844"/>
      <c r="E1630" s="845"/>
      <c r="F1630" s="816"/>
      <c r="G1630" s="844"/>
      <c r="H1630" s="845"/>
      <c r="I1630" s="816"/>
      <c r="J1630" s="489">
        <v>1</v>
      </c>
      <c r="K1630" s="489">
        <v>7</v>
      </c>
      <c r="L1630" s="556">
        <v>6</v>
      </c>
      <c r="M1630" s="463"/>
      <c r="N1630" s="464"/>
      <c r="O1630" s="560"/>
      <c r="P1630" s="461"/>
      <c r="Q1630" s="463"/>
      <c r="R1630" s="462">
        <f>K1630*L1630</f>
        <v>42</v>
      </c>
      <c r="S1630" s="340" t="s">
        <v>151</v>
      </c>
      <c r="T1630" s="355">
        <v>12</v>
      </c>
      <c r="U1630" s="837"/>
    </row>
    <row r="1631" spans="1:22" s="164" customFormat="1" hidden="1">
      <c r="A1631" s="1104"/>
      <c r="B1631" s="195"/>
      <c r="C1631" s="695"/>
      <c r="D1631" s="744"/>
      <c r="E1631" s="745"/>
      <c r="F1631" s="746"/>
      <c r="G1631" s="281"/>
      <c r="H1631" s="282"/>
      <c r="I1631" s="283"/>
      <c r="J1631" s="747"/>
      <c r="K1631" s="744"/>
      <c r="L1631" s="747"/>
      <c r="M1631" s="746"/>
      <c r="N1631" s="745"/>
      <c r="O1631" s="744"/>
      <c r="P1631" s="748"/>
      <c r="Q1631" s="746"/>
      <c r="R1631" s="749"/>
      <c r="S1631" s="747"/>
      <c r="T1631" s="750"/>
      <c r="U1631" s="205"/>
      <c r="V1631" s="662"/>
    </row>
    <row r="1632" spans="1:22" s="164" customFormat="1" hidden="1">
      <c r="A1632" s="1105"/>
      <c r="B1632" s="206"/>
      <c r="C1632" s="287"/>
      <c r="D1632" s="288"/>
      <c r="E1632" s="289"/>
      <c r="F1632" s="290"/>
      <c r="G1632" s="288"/>
      <c r="H1632" s="289"/>
      <c r="I1632" s="290"/>
      <c r="J1632" s="201"/>
      <c r="K1632" s="291"/>
      <c r="L1632" s="291"/>
      <c r="M1632" s="291"/>
      <c r="N1632" s="291"/>
      <c r="O1632" s="292"/>
      <c r="P1632" s="291"/>
      <c r="Q1632" s="292"/>
      <c r="R1632" s="218"/>
      <c r="S1632" s="293"/>
      <c r="T1632" s="204"/>
      <c r="U1632" s="221"/>
      <c r="V1632" s="662"/>
    </row>
    <row r="1633" spans="1:22" s="164" customFormat="1" hidden="1">
      <c r="A1633" s="1106"/>
      <c r="B1633" s="223"/>
      <c r="C1633" s="224"/>
      <c r="D1633" s="225"/>
      <c r="E1633" s="226"/>
      <c r="F1633" s="227"/>
      <c r="G1633" s="225"/>
      <c r="H1633" s="226"/>
      <c r="I1633" s="227"/>
      <c r="J1633" s="228"/>
      <c r="K1633" s="229"/>
      <c r="L1633" s="230"/>
      <c r="M1633" s="231"/>
      <c r="N1633" s="232"/>
      <c r="O1633" s="233"/>
      <c r="P1633" s="230"/>
      <c r="Q1633" s="234"/>
      <c r="R1633" s="235"/>
      <c r="S1633" s="236"/>
      <c r="T1633" s="294"/>
      <c r="U1633" s="238"/>
      <c r="V1633" s="662"/>
    </row>
    <row r="1634" spans="1:22" s="164" customFormat="1" hidden="1">
      <c r="A1634" s="1106"/>
      <c r="B1634" s="246"/>
      <c r="C1634" s="240"/>
      <c r="D1634" s="2730" t="s">
        <v>257</v>
      </c>
      <c r="E1634" s="2731"/>
      <c r="F1634" s="2731"/>
      <c r="G1634" s="2731"/>
      <c r="H1634" s="2731"/>
      <c r="I1634" s="2732"/>
      <c r="J1634" s="2488">
        <f>VLOOKUP(A1636,'11 - FINANCEIRA'!_xlnm.Print_Area,28,FALSE)</f>
        <v>42</v>
      </c>
      <c r="K1634" s="2489"/>
      <c r="L1634" s="309" t="str">
        <f>VLOOKUP(A1636,'11 - FINANCEIRA'!_xlnm.Print_Area,4,FALSE)</f>
        <v>m²</v>
      </c>
      <c r="M1634" s="2727" t="s">
        <v>258</v>
      </c>
      <c r="N1634" s="2728"/>
      <c r="O1634" s="2728"/>
      <c r="P1634" s="2728"/>
      <c r="Q1634" s="2729"/>
      <c r="R1634" s="248">
        <f>SUM(R1630:R1633)</f>
        <v>42</v>
      </c>
      <c r="S1634" s="310" t="str">
        <f>L1634</f>
        <v>m²</v>
      </c>
      <c r="T1634" s="244"/>
      <c r="U1634" s="245"/>
      <c r="V1634" s="662"/>
    </row>
    <row r="1635" spans="1:22" s="164" customFormat="1" hidden="1">
      <c r="A1635" s="1106"/>
      <c r="B1635" s="246"/>
      <c r="C1635" s="247"/>
      <c r="D1635" s="2478" t="s">
        <v>259</v>
      </c>
      <c r="E1635" s="2479"/>
      <c r="F1635" s="2479"/>
      <c r="G1635" s="2479"/>
      <c r="H1635" s="2479"/>
      <c r="I1635" s="2480"/>
      <c r="J1635" s="2484">
        <f>R1634/J1634</f>
        <v>1</v>
      </c>
      <c r="K1635" s="2485"/>
      <c r="L1635" s="743"/>
      <c r="M1635" s="2727" t="s">
        <v>260</v>
      </c>
      <c r="N1635" s="2728"/>
      <c r="O1635" s="2728"/>
      <c r="P1635" s="2728"/>
      <c r="Q1635" s="2729"/>
      <c r="R1635" s="248">
        <f>VLOOKUP(A1636,'11 - FINANCEIRA'!_xlnm.Print_Area,8,FALSE)</f>
        <v>42</v>
      </c>
      <c r="S1635" s="249" t="str">
        <f>L1634</f>
        <v>m²</v>
      </c>
      <c r="T1635" s="244"/>
      <c r="U1635" s="245"/>
      <c r="V1635" s="662"/>
    </row>
    <row r="1636" spans="1:22" s="164" customFormat="1" hidden="1">
      <c r="A1636" s="1106" t="s">
        <v>440</v>
      </c>
      <c r="B1636" s="250"/>
      <c r="C1636" s="598"/>
      <c r="D1636" s="2481"/>
      <c r="E1636" s="2482"/>
      <c r="F1636" s="2482"/>
      <c r="G1636" s="2482"/>
      <c r="H1636" s="2482"/>
      <c r="I1636" s="2483"/>
      <c r="J1636" s="2486"/>
      <c r="K1636" s="2487"/>
      <c r="L1636" s="751"/>
      <c r="M1636" s="2727" t="s">
        <v>261</v>
      </c>
      <c r="N1636" s="2728"/>
      <c r="O1636" s="2728"/>
      <c r="P1636" s="2728"/>
      <c r="Q1636" s="2729"/>
      <c r="R1636" s="248">
        <f>R1634-R1635</f>
        <v>0</v>
      </c>
      <c r="S1636" s="249" t="str">
        <f>L1634</f>
        <v>m²</v>
      </c>
      <c r="T1636" s="562"/>
      <c r="U1636" s="563"/>
      <c r="V1636" s="662"/>
    </row>
    <row r="1637" spans="1:22" s="164" customFormat="1" hidden="1">
      <c r="A1637" s="1770"/>
      <c r="B1637" s="660"/>
      <c r="D1637" s="661"/>
      <c r="E1637" s="662"/>
      <c r="F1637" s="663"/>
      <c r="G1637" s="661"/>
      <c r="I1637" s="663"/>
      <c r="K1637" s="664"/>
      <c r="L1637" s="664"/>
      <c r="N1637" s="511"/>
      <c r="O1637" s="662"/>
      <c r="Q1637" s="665"/>
      <c r="R1637" s="666"/>
      <c r="S1637" s="667"/>
      <c r="U1637" s="662"/>
      <c r="V1637" s="662"/>
    </row>
    <row r="1638" spans="1:22" s="164" customFormat="1" ht="31.5" hidden="1">
      <c r="A1638" s="1106"/>
      <c r="B1638" s="717" t="str">
        <f>VLOOKUP(A1646,'11 - FINANCEIRA'!_xlnm.Print_Area,2,FALSE)</f>
        <v>7010100010 - CESAN</v>
      </c>
      <c r="C1638" s="785" t="str">
        <f>VLOOKUP(A1646,'11 - FINANCEIRA'!_xlnm.Print_Area,3,FALSE)</f>
        <v>Barração para escritório da fiscalização</v>
      </c>
      <c r="D1638" s="2472" t="s">
        <v>242</v>
      </c>
      <c r="E1638" s="2473"/>
      <c r="F1638" s="2473"/>
      <c r="G1638" s="2473"/>
      <c r="H1638" s="2473"/>
      <c r="I1638" s="2474"/>
      <c r="J1638" s="733" t="s">
        <v>373</v>
      </c>
      <c r="K1638" s="716" t="s">
        <v>244</v>
      </c>
      <c r="L1638" s="733" t="s">
        <v>245</v>
      </c>
      <c r="M1638" s="733" t="s">
        <v>246</v>
      </c>
      <c r="N1638" s="733" t="s">
        <v>247</v>
      </c>
      <c r="O1638" s="733" t="s">
        <v>248</v>
      </c>
      <c r="P1638" s="173" t="s">
        <v>249</v>
      </c>
      <c r="Q1638" s="716" t="s">
        <v>250</v>
      </c>
      <c r="R1638" s="734" t="s">
        <v>139</v>
      </c>
      <c r="S1638" s="733" t="s">
        <v>251</v>
      </c>
      <c r="T1638" s="733" t="s">
        <v>252</v>
      </c>
      <c r="U1638" s="735" t="s">
        <v>253</v>
      </c>
      <c r="V1638" s="662"/>
    </row>
    <row r="1639" spans="1:22" s="164" customFormat="1" hidden="1">
      <c r="A1639" s="1106"/>
      <c r="B1639" s="718"/>
      <c r="C1639" s="736"/>
      <c r="D1639" s="2475" t="s">
        <v>254</v>
      </c>
      <c r="E1639" s="2476"/>
      <c r="F1639" s="2477"/>
      <c r="G1639" s="2469" t="s">
        <v>255</v>
      </c>
      <c r="H1639" s="2470"/>
      <c r="I1639" s="2471"/>
      <c r="J1639" s="740"/>
      <c r="K1639" s="964"/>
      <c r="L1639" s="740"/>
      <c r="M1639" s="740"/>
      <c r="N1639" s="740"/>
      <c r="O1639" s="740"/>
      <c r="P1639" s="177" t="s">
        <v>256</v>
      </c>
      <c r="Q1639" s="740"/>
      <c r="R1639" s="741"/>
      <c r="S1639" s="740"/>
      <c r="T1639" s="740"/>
      <c r="U1639" s="742"/>
      <c r="V1639" s="662"/>
    </row>
    <row r="1640" spans="1:22" s="40" customFormat="1" ht="30" hidden="1">
      <c r="A1640" s="1110"/>
      <c r="B1640" s="296"/>
      <c r="C1640" s="835" t="s">
        <v>557</v>
      </c>
      <c r="D1640" s="844"/>
      <c r="E1640" s="845"/>
      <c r="F1640" s="816"/>
      <c r="G1640" s="844"/>
      <c r="H1640" s="845"/>
      <c r="I1640" s="816"/>
      <c r="J1640" s="489">
        <v>1</v>
      </c>
      <c r="K1640" s="489">
        <v>3</v>
      </c>
      <c r="L1640" s="556">
        <v>5</v>
      </c>
      <c r="M1640" s="463"/>
      <c r="N1640" s="464"/>
      <c r="O1640" s="560"/>
      <c r="P1640" s="461"/>
      <c r="Q1640" s="463"/>
      <c r="R1640" s="462">
        <f>K1640*L1640</f>
        <v>15</v>
      </c>
      <c r="S1640" s="340" t="s">
        <v>151</v>
      </c>
      <c r="T1640" s="355">
        <v>12</v>
      </c>
      <c r="U1640" s="837"/>
    </row>
    <row r="1641" spans="1:22" hidden="1">
      <c r="A1641" s="1109"/>
      <c r="B1641" s="296"/>
      <c r="C1641" s="547"/>
      <c r="D1641" s="618"/>
      <c r="E1641" s="714"/>
      <c r="F1641" s="566"/>
      <c r="G1641" s="300"/>
      <c r="H1641" s="301"/>
      <c r="I1641" s="302"/>
      <c r="J1641" s="357"/>
      <c r="K1641" s="618"/>
      <c r="L1641" s="357"/>
      <c r="M1641" s="566"/>
      <c r="N1641" s="714"/>
      <c r="O1641" s="618"/>
      <c r="P1641" s="619"/>
      <c r="Q1641" s="566"/>
      <c r="R1641" s="616">
        <v>4</v>
      </c>
      <c r="S1641" s="357"/>
      <c r="T1641" s="355">
        <v>22</v>
      </c>
      <c r="U1641" s="408" t="s">
        <v>907</v>
      </c>
      <c r="V1641" s="842"/>
    </row>
    <row r="1642" spans="1:22" s="164" customFormat="1" hidden="1">
      <c r="A1642" s="1105"/>
      <c r="B1642" s="206"/>
      <c r="C1642" s="287"/>
      <c r="D1642" s="288"/>
      <c r="E1642" s="289"/>
      <c r="F1642" s="290"/>
      <c r="G1642" s="288"/>
      <c r="H1642" s="289"/>
      <c r="I1642" s="290"/>
      <c r="J1642" s="201"/>
      <c r="K1642" s="291"/>
      <c r="L1642" s="291"/>
      <c r="M1642" s="291"/>
      <c r="N1642" s="291"/>
      <c r="O1642" s="292"/>
      <c r="P1642" s="291"/>
      <c r="Q1642" s="292"/>
      <c r="R1642" s="218"/>
      <c r="S1642" s="293"/>
      <c r="T1642" s="204"/>
      <c r="U1642" s="221"/>
      <c r="V1642" s="662"/>
    </row>
    <row r="1643" spans="1:22" s="164" customFormat="1" hidden="1">
      <c r="A1643" s="1106"/>
      <c r="B1643" s="223"/>
      <c r="C1643" s="224"/>
      <c r="D1643" s="225"/>
      <c r="E1643" s="226"/>
      <c r="F1643" s="227"/>
      <c r="G1643" s="225"/>
      <c r="H1643" s="226"/>
      <c r="I1643" s="227"/>
      <c r="J1643" s="228"/>
      <c r="K1643" s="229"/>
      <c r="L1643" s="230"/>
      <c r="M1643" s="231"/>
      <c r="N1643" s="232"/>
      <c r="O1643" s="233"/>
      <c r="P1643" s="230"/>
      <c r="Q1643" s="234"/>
      <c r="R1643" s="235"/>
      <c r="S1643" s="236"/>
      <c r="T1643" s="294"/>
      <c r="U1643" s="238"/>
      <c r="V1643" s="662"/>
    </row>
    <row r="1644" spans="1:22" s="164" customFormat="1" hidden="1">
      <c r="A1644" s="1106"/>
      <c r="B1644" s="246"/>
      <c r="C1644" s="240"/>
      <c r="D1644" s="2730" t="s">
        <v>257</v>
      </c>
      <c r="E1644" s="2731"/>
      <c r="F1644" s="2731"/>
      <c r="G1644" s="2731"/>
      <c r="H1644" s="2731"/>
      <c r="I1644" s="2732"/>
      <c r="J1644" s="2488">
        <f>VLOOKUP(A1646,'11 - FINANCEIRA'!_xlnm.Print_Area,28,FALSE)</f>
        <v>19</v>
      </c>
      <c r="K1644" s="2489"/>
      <c r="L1644" s="309" t="str">
        <f>VLOOKUP(A1646,'11 - FINANCEIRA'!_xlnm.Print_Area,4,FALSE)</f>
        <v>m²</v>
      </c>
      <c r="M1644" s="2727" t="s">
        <v>258</v>
      </c>
      <c r="N1644" s="2728"/>
      <c r="O1644" s="2728"/>
      <c r="P1644" s="2728"/>
      <c r="Q1644" s="2729"/>
      <c r="R1644" s="248">
        <f>SUM(R1640:R1643)</f>
        <v>19</v>
      </c>
      <c r="S1644" s="310" t="str">
        <f>L1644</f>
        <v>m²</v>
      </c>
      <c r="T1644" s="244"/>
      <c r="U1644" s="245"/>
      <c r="V1644" s="662"/>
    </row>
    <row r="1645" spans="1:22" s="164" customFormat="1" hidden="1">
      <c r="A1645" s="1106"/>
      <c r="B1645" s="246"/>
      <c r="C1645" s="247"/>
      <c r="D1645" s="2478" t="s">
        <v>259</v>
      </c>
      <c r="E1645" s="2479"/>
      <c r="F1645" s="2479"/>
      <c r="G1645" s="2479"/>
      <c r="H1645" s="2479"/>
      <c r="I1645" s="2480"/>
      <c r="J1645" s="2484">
        <f>R1644/J1644</f>
        <v>1</v>
      </c>
      <c r="K1645" s="2485"/>
      <c r="L1645" s="743"/>
      <c r="M1645" s="2727" t="s">
        <v>260</v>
      </c>
      <c r="N1645" s="2728"/>
      <c r="O1645" s="2728"/>
      <c r="P1645" s="2728"/>
      <c r="Q1645" s="2729"/>
      <c r="R1645" s="248">
        <f>VLOOKUP(A1646,'11 - FINANCEIRA'!_xlnm.Print_Area,8,FALSE)</f>
        <v>19</v>
      </c>
      <c r="S1645" s="249" t="str">
        <f>L1644</f>
        <v>m²</v>
      </c>
      <c r="T1645" s="244"/>
      <c r="U1645" s="245"/>
      <c r="V1645" s="662"/>
    </row>
    <row r="1646" spans="1:22" s="164" customFormat="1" hidden="1">
      <c r="A1646" s="1106" t="s">
        <v>441</v>
      </c>
      <c r="B1646" s="250"/>
      <c r="C1646" s="598"/>
      <c r="D1646" s="2481"/>
      <c r="E1646" s="2482"/>
      <c r="F1646" s="2482"/>
      <c r="G1646" s="2482"/>
      <c r="H1646" s="2482"/>
      <c r="I1646" s="2483"/>
      <c r="J1646" s="2486"/>
      <c r="K1646" s="2487"/>
      <c r="L1646" s="751"/>
      <c r="M1646" s="2727" t="s">
        <v>261</v>
      </c>
      <c r="N1646" s="2728"/>
      <c r="O1646" s="2728"/>
      <c r="P1646" s="2728"/>
      <c r="Q1646" s="2729"/>
      <c r="R1646" s="248">
        <f>R1644-R1645</f>
        <v>0</v>
      </c>
      <c r="S1646" s="249" t="str">
        <f>L1644</f>
        <v>m²</v>
      </c>
      <c r="T1646" s="562"/>
      <c r="U1646" s="563"/>
      <c r="V1646" s="662"/>
    </row>
    <row r="1647" spans="1:22" s="164" customFormat="1" hidden="1">
      <c r="A1647" s="1770"/>
      <c r="B1647" s="660"/>
      <c r="D1647" s="661"/>
      <c r="E1647" s="662"/>
      <c r="F1647" s="663"/>
      <c r="G1647" s="661"/>
      <c r="I1647" s="663"/>
      <c r="K1647" s="664"/>
      <c r="L1647" s="664"/>
      <c r="N1647" s="511"/>
      <c r="O1647" s="662"/>
      <c r="Q1647" s="665"/>
      <c r="R1647" s="666"/>
      <c r="S1647" s="667"/>
      <c r="U1647" s="662"/>
      <c r="V1647" s="662"/>
    </row>
    <row r="1648" spans="1:22" s="164" customFormat="1" ht="31.5" hidden="1">
      <c r="A1648" s="1106"/>
      <c r="B1648" s="717" t="str">
        <f>VLOOKUP(A1658,'11 - FINANCEIRA'!_xlnm.Print_Area,2,FALSE)</f>
        <v>43003 - DER</v>
      </c>
      <c r="C1648" s="785" t="str">
        <f>VLOOKUP(A1658,'11 - FINANCEIRA'!_xlnm.Print_Area,3,FALSE)</f>
        <v>Lastro de brita inclusive transporte em vias urbanas</v>
      </c>
      <c r="D1648" s="2472" t="s">
        <v>242</v>
      </c>
      <c r="E1648" s="2473"/>
      <c r="F1648" s="2473"/>
      <c r="G1648" s="2473"/>
      <c r="H1648" s="2473"/>
      <c r="I1648" s="2474"/>
      <c r="J1648" s="733" t="s">
        <v>373</v>
      </c>
      <c r="K1648" s="733" t="s">
        <v>244</v>
      </c>
      <c r="L1648" s="733" t="s">
        <v>245</v>
      </c>
      <c r="M1648" s="733" t="s">
        <v>246</v>
      </c>
      <c r="N1648" s="733" t="s">
        <v>247</v>
      </c>
      <c r="O1648" s="733" t="s">
        <v>248</v>
      </c>
      <c r="P1648" s="173" t="s">
        <v>249</v>
      </c>
      <c r="Q1648" s="716" t="s">
        <v>250</v>
      </c>
      <c r="R1648" s="734" t="s">
        <v>139</v>
      </c>
      <c r="S1648" s="733" t="s">
        <v>251</v>
      </c>
      <c r="T1648" s="733" t="s">
        <v>252</v>
      </c>
      <c r="U1648" s="735" t="s">
        <v>253</v>
      </c>
      <c r="V1648" s="662"/>
    </row>
    <row r="1649" spans="1:27" s="164" customFormat="1" hidden="1">
      <c r="A1649" s="1106"/>
      <c r="B1649" s="718"/>
      <c r="C1649" s="736"/>
      <c r="D1649" s="2475" t="s">
        <v>254</v>
      </c>
      <c r="E1649" s="2476"/>
      <c r="F1649" s="2477"/>
      <c r="G1649" s="2469" t="s">
        <v>255</v>
      </c>
      <c r="H1649" s="2470"/>
      <c r="I1649" s="2471"/>
      <c r="J1649" s="740"/>
      <c r="K1649" s="740"/>
      <c r="L1649" s="740"/>
      <c r="M1649" s="740"/>
      <c r="N1649" s="740"/>
      <c r="O1649" s="740"/>
      <c r="P1649" s="177" t="s">
        <v>256</v>
      </c>
      <c r="Q1649" s="740"/>
      <c r="R1649" s="741"/>
      <c r="S1649" s="740"/>
      <c r="T1649" s="740"/>
      <c r="U1649" s="742"/>
      <c r="V1649" s="662"/>
    </row>
    <row r="1650" spans="1:27" s="176" customFormat="1" hidden="1">
      <c r="A1650" s="1110"/>
      <c r="B1650" s="296"/>
      <c r="C1650" s="339" t="s">
        <v>586</v>
      </c>
      <c r="D1650" s="496">
        <v>11</v>
      </c>
      <c r="E1650" s="464" t="s">
        <v>299</v>
      </c>
      <c r="F1650" s="498">
        <v>10</v>
      </c>
      <c r="G1650" s="533">
        <v>14</v>
      </c>
      <c r="H1650" s="459" t="s">
        <v>299</v>
      </c>
      <c r="I1650" s="545">
        <v>14</v>
      </c>
      <c r="J1650" s="340" t="s">
        <v>300</v>
      </c>
      <c r="K1650" s="558">
        <f>SUM(G1650*20+I1650)-(D1650*20+F1650)</f>
        <v>64</v>
      </c>
      <c r="L1650" s="340">
        <v>4.4000000000000004</v>
      </c>
      <c r="M1650" s="498">
        <v>0.5</v>
      </c>
      <c r="N1650" s="464"/>
      <c r="O1650" s="560">
        <f>TRUNC(K1650*L1650*M1650,3)</f>
        <v>140.80000000000001</v>
      </c>
      <c r="P1650" s="461"/>
      <c r="Q1650" s="463"/>
      <c r="R1650" s="462">
        <f>TRUNC(O1650,3)</f>
        <v>140.80000000000001</v>
      </c>
      <c r="S1650" s="340" t="s">
        <v>164</v>
      </c>
      <c r="T1650" s="347">
        <v>13</v>
      </c>
      <c r="U1650" s="408"/>
      <c r="V1650" s="429">
        <f>V1651</f>
        <v>0</v>
      </c>
      <c r="W1650" s="175"/>
      <c r="X1650" s="175"/>
      <c r="Y1650" s="175"/>
      <c r="Z1650" s="175"/>
      <c r="AA1650" s="175"/>
    </row>
    <row r="1651" spans="1:27" hidden="1">
      <c r="A1651" s="1110"/>
      <c r="B1651" s="296"/>
      <c r="C1651" s="339" t="s">
        <v>586</v>
      </c>
      <c r="D1651" s="496">
        <v>14</v>
      </c>
      <c r="E1651" s="464" t="s">
        <v>299</v>
      </c>
      <c r="F1651" s="498">
        <v>14</v>
      </c>
      <c r="G1651" s="533">
        <v>19</v>
      </c>
      <c r="H1651" s="459" t="s">
        <v>299</v>
      </c>
      <c r="I1651" s="545">
        <v>2</v>
      </c>
      <c r="J1651" s="340" t="s">
        <v>300</v>
      </c>
      <c r="K1651" s="558">
        <f>SUM(G1651*20+I1651)-(D1651*20+F1651)</f>
        <v>88</v>
      </c>
      <c r="L1651" s="340">
        <v>4.4000000000000004</v>
      </c>
      <c r="M1651" s="498">
        <v>0.5</v>
      </c>
      <c r="N1651" s="464"/>
      <c r="O1651" s="560">
        <f>TRUNC(K1651*L1651*M1651,3)</f>
        <v>193.6</v>
      </c>
      <c r="P1651" s="461"/>
      <c r="Q1651" s="463"/>
      <c r="R1651" s="462">
        <f>TRUNC(O1651,3)</f>
        <v>193.6</v>
      </c>
      <c r="S1651" s="340" t="s">
        <v>164</v>
      </c>
      <c r="T1651" s="347">
        <v>14</v>
      </c>
      <c r="U1651" s="341"/>
      <c r="V1651" s="842"/>
    </row>
    <row r="1652" spans="1:27" hidden="1">
      <c r="A1652" s="1110"/>
      <c r="B1652" s="296"/>
      <c r="C1652" s="339" t="s">
        <v>586</v>
      </c>
      <c r="D1652" s="496">
        <v>19</v>
      </c>
      <c r="E1652" s="464" t="s">
        <v>299</v>
      </c>
      <c r="F1652" s="498">
        <v>2</v>
      </c>
      <c r="G1652" s="533">
        <v>21</v>
      </c>
      <c r="H1652" s="459" t="s">
        <v>299</v>
      </c>
      <c r="I1652" s="545">
        <v>9</v>
      </c>
      <c r="J1652" s="340" t="s">
        <v>300</v>
      </c>
      <c r="K1652" s="558">
        <f>SUM(G1652*20+I1652)-(D1652*20+F1652)</f>
        <v>47</v>
      </c>
      <c r="L1652" s="340">
        <v>4.4000000000000004</v>
      </c>
      <c r="M1652" s="498">
        <v>0.5</v>
      </c>
      <c r="N1652" s="464"/>
      <c r="O1652" s="560">
        <f>TRUNC(K1652*L1652*M1652,3)</f>
        <v>103.4</v>
      </c>
      <c r="P1652" s="461"/>
      <c r="Q1652" s="463"/>
      <c r="R1652" s="462">
        <f>TRUNC(O1652,3)</f>
        <v>103.4</v>
      </c>
      <c r="S1652" s="340" t="s">
        <v>164</v>
      </c>
      <c r="T1652" s="347">
        <v>15</v>
      </c>
      <c r="U1652" s="341"/>
      <c r="V1652" s="842"/>
    </row>
    <row r="1653" spans="1:27" hidden="1">
      <c r="A1653" s="1110"/>
      <c r="B1653" s="296"/>
      <c r="C1653" s="339" t="s">
        <v>586</v>
      </c>
      <c r="D1653" s="496">
        <f>G1652</f>
        <v>21</v>
      </c>
      <c r="E1653" s="464" t="s">
        <v>299</v>
      </c>
      <c r="F1653" s="498">
        <f>I1652</f>
        <v>9</v>
      </c>
      <c r="G1653" s="533">
        <v>25</v>
      </c>
      <c r="H1653" s="459" t="s">
        <v>299</v>
      </c>
      <c r="I1653" s="545">
        <v>16</v>
      </c>
      <c r="J1653" s="340" t="s">
        <v>300</v>
      </c>
      <c r="K1653" s="558">
        <f>SUM(G1653*20+I1653)-(D1653*20+F1653)</f>
        <v>87</v>
      </c>
      <c r="L1653" s="340">
        <v>4.4000000000000004</v>
      </c>
      <c r="M1653" s="498">
        <v>0.5</v>
      </c>
      <c r="N1653" s="464"/>
      <c r="O1653" s="560">
        <f>TRUNC(K1653*L1653*M1653,3)</f>
        <v>191.4</v>
      </c>
      <c r="P1653" s="461"/>
      <c r="Q1653" s="463"/>
      <c r="R1653" s="462">
        <f>TRUNC(O1653,3)</f>
        <v>191.4</v>
      </c>
      <c r="S1653" s="340" t="s">
        <v>164</v>
      </c>
      <c r="T1653" s="347">
        <v>16</v>
      </c>
      <c r="U1653" s="341"/>
      <c r="V1653" s="842"/>
    </row>
    <row r="1654" spans="1:27" hidden="1">
      <c r="A1654" s="1110"/>
      <c r="B1654" s="296"/>
      <c r="C1654" s="339" t="s">
        <v>669</v>
      </c>
      <c r="D1654" s="496"/>
      <c r="E1654" s="464"/>
      <c r="F1654" s="498"/>
      <c r="G1654" s="533"/>
      <c r="H1654" s="459"/>
      <c r="I1654" s="545"/>
      <c r="J1654" s="340" t="s">
        <v>300</v>
      </c>
      <c r="K1654" s="558">
        <v>9</v>
      </c>
      <c r="L1654" s="340">
        <v>5</v>
      </c>
      <c r="M1654" s="498">
        <v>0.25</v>
      </c>
      <c r="N1654" s="464"/>
      <c r="O1654" s="560">
        <f>TRUNC(K1654*L1654*M1654,3)</f>
        <v>11.25</v>
      </c>
      <c r="P1654" s="461"/>
      <c r="Q1654" s="463"/>
      <c r="R1654" s="462">
        <f>TRUNC(O1654,3)</f>
        <v>11.25</v>
      </c>
      <c r="S1654" s="340" t="s">
        <v>164</v>
      </c>
      <c r="T1654" s="347">
        <v>17</v>
      </c>
      <c r="U1654" s="408" t="s">
        <v>670</v>
      </c>
      <c r="V1654" s="842"/>
    </row>
    <row r="1655" spans="1:27" s="164" customFormat="1" hidden="1">
      <c r="A1655" s="1106"/>
      <c r="B1655" s="223"/>
      <c r="C1655" s="224"/>
      <c r="D1655" s="225"/>
      <c r="E1655" s="226"/>
      <c r="F1655" s="227"/>
      <c r="G1655" s="225"/>
      <c r="H1655" s="226"/>
      <c r="I1655" s="227"/>
      <c r="J1655" s="228"/>
      <c r="K1655" s="229"/>
      <c r="L1655" s="230"/>
      <c r="M1655" s="231"/>
      <c r="N1655" s="232"/>
      <c r="O1655" s="233"/>
      <c r="P1655" s="230"/>
      <c r="Q1655" s="234"/>
      <c r="R1655" s="235"/>
      <c r="S1655" s="236"/>
      <c r="T1655" s="294"/>
      <c r="U1655" s="238"/>
      <c r="V1655" s="662"/>
    </row>
    <row r="1656" spans="1:27" s="164" customFormat="1" hidden="1">
      <c r="A1656" s="1106"/>
      <c r="B1656" s="246"/>
      <c r="C1656" s="240"/>
      <c r="D1656" s="2730" t="s">
        <v>257</v>
      </c>
      <c r="E1656" s="2731"/>
      <c r="F1656" s="2731"/>
      <c r="G1656" s="2731"/>
      <c r="H1656" s="2731"/>
      <c r="I1656" s="2732"/>
      <c r="J1656" s="2488">
        <f>VLOOKUP(A1658,'11 - FINANCEIRA'!_xlnm.Print_Area,28,FALSE)</f>
        <v>640.44999999999993</v>
      </c>
      <c r="K1656" s="2489"/>
      <c r="L1656" s="309" t="str">
        <f>VLOOKUP(A1658,'11 - FINANCEIRA'!_xlnm.Print_Area,4,FALSE)</f>
        <v>M³</v>
      </c>
      <c r="M1656" s="2727" t="s">
        <v>258</v>
      </c>
      <c r="N1656" s="2728"/>
      <c r="O1656" s="2728"/>
      <c r="P1656" s="2728"/>
      <c r="Q1656" s="2729"/>
      <c r="R1656" s="248">
        <f>SUM(R1650:R1655)</f>
        <v>640.44999999999993</v>
      </c>
      <c r="S1656" s="310" t="str">
        <f>L1656</f>
        <v>M³</v>
      </c>
      <c r="T1656" s="244"/>
      <c r="U1656" s="245"/>
      <c r="V1656" s="662"/>
    </row>
    <row r="1657" spans="1:27" s="164" customFormat="1" hidden="1">
      <c r="A1657" s="1106"/>
      <c r="B1657" s="246"/>
      <c r="C1657" s="247"/>
      <c r="D1657" s="2478" t="s">
        <v>259</v>
      </c>
      <c r="E1657" s="2479"/>
      <c r="F1657" s="2479"/>
      <c r="G1657" s="2479"/>
      <c r="H1657" s="2479"/>
      <c r="I1657" s="2480"/>
      <c r="J1657" s="2484">
        <f>R1656/J1656</f>
        <v>1</v>
      </c>
      <c r="K1657" s="2485"/>
      <c r="L1657" s="743"/>
      <c r="M1657" s="2727" t="s">
        <v>260</v>
      </c>
      <c r="N1657" s="2728"/>
      <c r="O1657" s="2728"/>
      <c r="P1657" s="2728"/>
      <c r="Q1657" s="2729"/>
      <c r="R1657" s="248">
        <f>VLOOKUP(A1658,'11 - FINANCEIRA'!_xlnm.Print_Area,8,FALSE)</f>
        <v>640.44999999999993</v>
      </c>
      <c r="S1657" s="249" t="str">
        <f>L1656</f>
        <v>M³</v>
      </c>
      <c r="T1657" s="244"/>
      <c r="U1657" s="245"/>
      <c r="V1657" s="662"/>
    </row>
    <row r="1658" spans="1:27" s="164" customFormat="1" hidden="1">
      <c r="A1658" s="1106" t="s">
        <v>442</v>
      </c>
      <c r="B1658" s="250"/>
      <c r="C1658" s="598"/>
      <c r="D1658" s="2481"/>
      <c r="E1658" s="2482"/>
      <c r="F1658" s="2482"/>
      <c r="G1658" s="2482"/>
      <c r="H1658" s="2482"/>
      <c r="I1658" s="2483"/>
      <c r="J1658" s="2486"/>
      <c r="K1658" s="2487"/>
      <c r="L1658" s="751"/>
      <c r="M1658" s="2727" t="s">
        <v>261</v>
      </c>
      <c r="N1658" s="2728"/>
      <c r="O1658" s="2728"/>
      <c r="P1658" s="2728"/>
      <c r="Q1658" s="2729"/>
      <c r="R1658" s="248">
        <f>R1656-R1657</f>
        <v>0</v>
      </c>
      <c r="S1658" s="249" t="str">
        <f>L1656</f>
        <v>M³</v>
      </c>
      <c r="T1658" s="562"/>
      <c r="U1658" s="563"/>
      <c r="V1658" s="662"/>
    </row>
    <row r="1659" spans="1:27" s="164" customFormat="1" hidden="1">
      <c r="A1659" s="1770"/>
      <c r="B1659" s="660"/>
      <c r="C1659" s="600"/>
      <c r="D1659" s="661"/>
      <c r="E1659" s="662"/>
      <c r="F1659" s="663"/>
      <c r="G1659" s="661"/>
      <c r="I1659" s="663"/>
      <c r="K1659" s="664"/>
      <c r="L1659" s="664"/>
      <c r="N1659" s="511"/>
      <c r="O1659" s="662"/>
      <c r="Q1659" s="665"/>
      <c r="R1659" s="666"/>
      <c r="S1659" s="667"/>
      <c r="U1659" s="662"/>
      <c r="V1659" s="662"/>
    </row>
    <row r="1660" spans="1:27" s="164" customFormat="1" ht="31.5">
      <c r="A1660" s="1106"/>
      <c r="B1660" s="717">
        <f>VLOOKUP(A1674,'11 - FINANCEIRA'!_xlnm.Print_Area,2,FALSE)</f>
        <v>140903</v>
      </c>
      <c r="C1660" s="785" t="str">
        <f>VLOOKUP(A1674,'11 - FINANCEIRA'!_xlnm.Print_Area,3,FALSE)</f>
        <v>Tubo pvc rígido para esgoto no diâmetro de 100mm incluindo escavação e aterro</v>
      </c>
      <c r="D1660" s="2472" t="s">
        <v>242</v>
      </c>
      <c r="E1660" s="2473"/>
      <c r="F1660" s="2473"/>
      <c r="G1660" s="2473"/>
      <c r="H1660" s="2473"/>
      <c r="I1660" s="2474"/>
      <c r="J1660" s="733" t="s">
        <v>373</v>
      </c>
      <c r="K1660" s="733" t="s">
        <v>244</v>
      </c>
      <c r="L1660" s="733" t="s">
        <v>245</v>
      </c>
      <c r="M1660" s="733" t="s">
        <v>246</v>
      </c>
      <c r="N1660" s="733" t="s">
        <v>247</v>
      </c>
      <c r="O1660" s="733" t="s">
        <v>248</v>
      </c>
      <c r="P1660" s="173" t="s">
        <v>543</v>
      </c>
      <c r="Q1660" s="716" t="s">
        <v>250</v>
      </c>
      <c r="R1660" s="734" t="s">
        <v>139</v>
      </c>
      <c r="S1660" s="733" t="s">
        <v>251</v>
      </c>
      <c r="T1660" s="733" t="s">
        <v>252</v>
      </c>
      <c r="U1660" s="735" t="s">
        <v>253</v>
      </c>
      <c r="V1660" s="662"/>
    </row>
    <row r="1661" spans="1:27" s="164" customFormat="1">
      <c r="A1661" s="1106"/>
      <c r="B1661" s="718"/>
      <c r="C1661" s="798"/>
      <c r="D1661" s="2475" t="s">
        <v>254</v>
      </c>
      <c r="E1661" s="2476"/>
      <c r="F1661" s="2477"/>
      <c r="G1661" s="2469" t="s">
        <v>255</v>
      </c>
      <c r="H1661" s="2470"/>
      <c r="I1661" s="2471"/>
      <c r="J1661" s="740"/>
      <c r="K1661" s="740"/>
      <c r="L1661" s="740"/>
      <c r="M1661" s="740"/>
      <c r="N1661" s="740"/>
      <c r="O1661" s="740"/>
      <c r="P1661" s="177"/>
      <c r="Q1661" s="740"/>
      <c r="R1661" s="741"/>
      <c r="S1661" s="740"/>
      <c r="T1661" s="740"/>
      <c r="U1661" s="742"/>
      <c r="V1661" s="662"/>
    </row>
    <row r="1662" spans="1:27" s="40" customFormat="1" ht="20.25">
      <c r="A1662" s="1110"/>
      <c r="B1662" s="296"/>
      <c r="C1662" s="846" t="s">
        <v>508</v>
      </c>
      <c r="D1662" s="618">
        <v>-1</v>
      </c>
      <c r="E1662" s="714" t="s">
        <v>299</v>
      </c>
      <c r="F1662" s="566">
        <v>0</v>
      </c>
      <c r="G1662" s="618">
        <v>7</v>
      </c>
      <c r="H1662" s="301" t="s">
        <v>299</v>
      </c>
      <c r="I1662" s="566">
        <v>4</v>
      </c>
      <c r="J1662" s="357">
        <v>12</v>
      </c>
      <c r="K1662" s="555">
        <f t="shared" ref="K1662:K1668" si="218">SUM(G1662*20+I1662)-(D1662*20+F1662)</f>
        <v>164</v>
      </c>
      <c r="L1662" s="357">
        <v>4</v>
      </c>
      <c r="M1662" s="463"/>
      <c r="N1662" s="464"/>
      <c r="O1662" s="560"/>
      <c r="P1662" s="461"/>
      <c r="Q1662" s="463"/>
      <c r="R1662" s="462">
        <f>(K1662/J1662)*L1662</f>
        <v>54.666666666666664</v>
      </c>
      <c r="S1662" s="847" t="s">
        <v>540</v>
      </c>
      <c r="T1662" s="355">
        <v>12</v>
      </c>
      <c r="U1662" s="848"/>
    </row>
    <row r="1663" spans="1:27" s="40" customFormat="1">
      <c r="A1663" s="1110"/>
      <c r="B1663" s="296"/>
      <c r="C1663" s="820" t="s">
        <v>508</v>
      </c>
      <c r="D1663" s="560">
        <v>-1</v>
      </c>
      <c r="E1663" s="464" t="s">
        <v>299</v>
      </c>
      <c r="F1663" s="463">
        <v>0</v>
      </c>
      <c r="G1663" s="560">
        <v>0</v>
      </c>
      <c r="H1663" s="459" t="s">
        <v>299</v>
      </c>
      <c r="I1663" s="463">
        <v>0</v>
      </c>
      <c r="J1663" s="340">
        <v>12</v>
      </c>
      <c r="K1663" s="434">
        <f t="shared" si="218"/>
        <v>20</v>
      </c>
      <c r="L1663" s="340">
        <v>4</v>
      </c>
      <c r="M1663" s="463"/>
      <c r="N1663" s="464"/>
      <c r="O1663" s="560"/>
      <c r="P1663" s="461"/>
      <c r="Q1663" s="463"/>
      <c r="R1663" s="462">
        <f>(K1663/J1663)*L1663</f>
        <v>6.666666666666667</v>
      </c>
      <c r="S1663" s="340" t="s">
        <v>144</v>
      </c>
      <c r="T1663" s="355">
        <v>12</v>
      </c>
      <c r="U1663" s="849" t="s">
        <v>1031</v>
      </c>
    </row>
    <row r="1664" spans="1:27" s="40" customFormat="1">
      <c r="A1664" s="1110"/>
      <c r="B1664" s="296"/>
      <c r="C1664" s="820" t="s">
        <v>508</v>
      </c>
      <c r="D1664" s="560">
        <v>1</v>
      </c>
      <c r="E1664" s="464" t="s">
        <v>299</v>
      </c>
      <c r="F1664" s="463">
        <v>0</v>
      </c>
      <c r="G1664" s="560">
        <v>1</v>
      </c>
      <c r="H1664" s="459" t="s">
        <v>299</v>
      </c>
      <c r="I1664" s="463">
        <v>8</v>
      </c>
      <c r="J1664" s="340">
        <v>12</v>
      </c>
      <c r="K1664" s="434">
        <f t="shared" si="218"/>
        <v>8</v>
      </c>
      <c r="L1664" s="340">
        <v>4</v>
      </c>
      <c r="M1664" s="463"/>
      <c r="N1664" s="464"/>
      <c r="O1664" s="560"/>
      <c r="P1664" s="461"/>
      <c r="Q1664" s="1113"/>
      <c r="R1664" s="462">
        <f>(K1664/J1664)*L1664</f>
        <v>2.6666666666666665</v>
      </c>
      <c r="S1664" s="340" t="s">
        <v>144</v>
      </c>
      <c r="T1664" s="355">
        <v>12</v>
      </c>
      <c r="U1664" s="849" t="s">
        <v>1032</v>
      </c>
    </row>
    <row r="1665" spans="1:27" s="40" customFormat="1">
      <c r="A1665" s="1110"/>
      <c r="B1665" s="296"/>
      <c r="C1665" s="820" t="s">
        <v>508</v>
      </c>
      <c r="D1665" s="560">
        <v>7</v>
      </c>
      <c r="E1665" s="464" t="s">
        <v>299</v>
      </c>
      <c r="F1665" s="463">
        <v>4</v>
      </c>
      <c r="G1665" s="560">
        <v>12</v>
      </c>
      <c r="H1665" s="459" t="s">
        <v>299</v>
      </c>
      <c r="I1665" s="463">
        <v>19</v>
      </c>
      <c r="J1665" s="340">
        <v>12</v>
      </c>
      <c r="K1665" s="434">
        <f t="shared" si="218"/>
        <v>115</v>
      </c>
      <c r="L1665" s="340">
        <v>4</v>
      </c>
      <c r="M1665" s="463"/>
      <c r="N1665" s="464"/>
      <c r="O1665" s="560"/>
      <c r="P1665" s="461"/>
      <c r="Q1665" s="463"/>
      <c r="R1665" s="462">
        <v>51.670000000000009</v>
      </c>
      <c r="S1665" s="340" t="s">
        <v>144</v>
      </c>
      <c r="T1665" s="355">
        <v>22</v>
      </c>
      <c r="U1665" s="849" t="s">
        <v>1032</v>
      </c>
    </row>
    <row r="1666" spans="1:27" s="40" customFormat="1">
      <c r="A1666" s="1110"/>
      <c r="B1666" s="296"/>
      <c r="C1666" s="820" t="s">
        <v>1037</v>
      </c>
      <c r="D1666" s="496">
        <f>D1763</f>
        <v>35</v>
      </c>
      <c r="E1666" s="606" t="str">
        <f t="shared" ref="E1666:I1666" si="219">E1763</f>
        <v>+</v>
      </c>
      <c r="F1666" s="498">
        <f t="shared" si="219"/>
        <v>14</v>
      </c>
      <c r="G1666" s="496">
        <f t="shared" si="219"/>
        <v>39</v>
      </c>
      <c r="H1666" s="606" t="str">
        <f t="shared" si="219"/>
        <v>+</v>
      </c>
      <c r="I1666" s="498">
        <f t="shared" si="219"/>
        <v>16</v>
      </c>
      <c r="J1666" s="340"/>
      <c r="K1666" s="434">
        <f t="shared" si="218"/>
        <v>82</v>
      </c>
      <c r="L1666" s="340"/>
      <c r="M1666" s="463"/>
      <c r="N1666" s="464"/>
      <c r="O1666" s="560"/>
      <c r="P1666" s="461">
        <f>SUM(112.436/240)</f>
        <v>0.46848333333333336</v>
      </c>
      <c r="Q1666" s="463"/>
      <c r="R1666" s="462">
        <f>K1666*P1666</f>
        <v>38.415633333333332</v>
      </c>
      <c r="S1666" s="340" t="s">
        <v>144</v>
      </c>
      <c r="T1666" s="347">
        <v>25</v>
      </c>
      <c r="U1666" s="849"/>
    </row>
    <row r="1667" spans="1:27" s="40" customFormat="1">
      <c r="A1667" s="1110"/>
      <c r="B1667" s="296"/>
      <c r="C1667" s="820" t="s">
        <v>1037</v>
      </c>
      <c r="D1667" s="496">
        <f t="shared" ref="D1667:I1669" si="220">D316</f>
        <v>31</v>
      </c>
      <c r="E1667" s="606" t="str">
        <f t="shared" si="220"/>
        <v>+</v>
      </c>
      <c r="F1667" s="498">
        <f t="shared" si="220"/>
        <v>12</v>
      </c>
      <c r="G1667" s="496">
        <f t="shared" si="220"/>
        <v>35</v>
      </c>
      <c r="H1667" s="606" t="str">
        <f t="shared" si="220"/>
        <v>+</v>
      </c>
      <c r="I1667" s="498">
        <f t="shared" si="220"/>
        <v>14</v>
      </c>
      <c r="J1667" s="340"/>
      <c r="K1667" s="434">
        <f t="shared" si="218"/>
        <v>82</v>
      </c>
      <c r="L1667" s="340"/>
      <c r="M1667" s="463"/>
      <c r="N1667" s="464"/>
      <c r="O1667" s="560"/>
      <c r="P1667" s="461">
        <f>SUM(112.436/240)</f>
        <v>0.46848333333333336</v>
      </c>
      <c r="Q1667" s="463"/>
      <c r="R1667" s="462">
        <f>K1667*P1667</f>
        <v>38.415633333333332</v>
      </c>
      <c r="S1667" s="340" t="s">
        <v>144</v>
      </c>
      <c r="T1667" s="347">
        <v>26</v>
      </c>
      <c r="U1667" s="849"/>
    </row>
    <row r="1668" spans="1:27" s="40" customFormat="1">
      <c r="A1668" s="1110"/>
      <c r="B1668" s="296"/>
      <c r="C1668" s="820" t="s">
        <v>1037</v>
      </c>
      <c r="D1668" s="496">
        <f t="shared" si="220"/>
        <v>39</v>
      </c>
      <c r="E1668" s="606" t="str">
        <f t="shared" si="220"/>
        <v>+</v>
      </c>
      <c r="F1668" s="498">
        <f t="shared" si="220"/>
        <v>16</v>
      </c>
      <c r="G1668" s="496">
        <f t="shared" si="220"/>
        <v>41</v>
      </c>
      <c r="H1668" s="606" t="str">
        <f t="shared" si="220"/>
        <v>+</v>
      </c>
      <c r="I1668" s="498">
        <f t="shared" si="220"/>
        <v>16</v>
      </c>
      <c r="J1668" s="340"/>
      <c r="K1668" s="434">
        <f t="shared" si="218"/>
        <v>40</v>
      </c>
      <c r="L1668" s="340"/>
      <c r="M1668" s="463"/>
      <c r="N1668" s="464"/>
      <c r="O1668" s="560"/>
      <c r="P1668" s="461">
        <f>SUM(112.436/240)</f>
        <v>0.46848333333333336</v>
      </c>
      <c r="Q1668" s="463"/>
      <c r="R1668" s="462">
        <f>K1668*P1668</f>
        <v>18.739333333333335</v>
      </c>
      <c r="S1668" s="340" t="s">
        <v>144</v>
      </c>
      <c r="T1668" s="347">
        <v>26</v>
      </c>
      <c r="U1668" s="849"/>
    </row>
    <row r="1669" spans="1:27" s="40" customFormat="1">
      <c r="A1669" s="1110"/>
      <c r="B1669" s="296"/>
      <c r="C1669" s="820" t="s">
        <v>1037</v>
      </c>
      <c r="D1669" s="496">
        <f t="shared" si="220"/>
        <v>41</v>
      </c>
      <c r="E1669" s="606" t="str">
        <f t="shared" si="220"/>
        <v>+</v>
      </c>
      <c r="F1669" s="498">
        <f t="shared" si="220"/>
        <v>16</v>
      </c>
      <c r="G1669" s="496">
        <f t="shared" si="220"/>
        <v>42</v>
      </c>
      <c r="H1669" s="606" t="str">
        <f t="shared" si="220"/>
        <v>+</v>
      </c>
      <c r="I1669" s="498">
        <f t="shared" si="220"/>
        <v>12</v>
      </c>
      <c r="J1669" s="340"/>
      <c r="K1669" s="434">
        <f t="shared" ref="K1669" si="221">SUM(G1669*20+I1669)-(D1669*20+F1669)</f>
        <v>16</v>
      </c>
      <c r="L1669" s="340"/>
      <c r="M1669" s="463"/>
      <c r="N1669" s="464"/>
      <c r="O1669" s="560"/>
      <c r="P1669" s="461">
        <f>SUM(112.436/240)</f>
        <v>0.46848333333333336</v>
      </c>
      <c r="Q1669" s="463"/>
      <c r="R1669" s="462">
        <f>K1669*P1669</f>
        <v>7.4957333333333338</v>
      </c>
      <c r="S1669" s="340" t="s">
        <v>144</v>
      </c>
      <c r="T1669" s="347">
        <v>27</v>
      </c>
      <c r="U1669" s="849"/>
    </row>
    <row r="1670" spans="1:27" s="39" customFormat="1">
      <c r="A1670" s="1771"/>
      <c r="B1670" s="767"/>
      <c r="C1670" s="766" t="s">
        <v>1037</v>
      </c>
      <c r="D1670" s="1240">
        <v>42</v>
      </c>
      <c r="E1670" s="1241" t="str">
        <f>E319</f>
        <v>+</v>
      </c>
      <c r="F1670" s="1242">
        <f>F319</f>
        <v>12</v>
      </c>
      <c r="G1670" s="1240">
        <v>43</v>
      </c>
      <c r="H1670" s="1241" t="str">
        <f>H319</f>
        <v>+</v>
      </c>
      <c r="I1670" s="1242">
        <v>14</v>
      </c>
      <c r="J1670" s="438"/>
      <c r="K1670" s="439">
        <f t="shared" ref="K1670" si="222">SUM(G1670*20+I1670)-(D1670*20+F1670)</f>
        <v>22</v>
      </c>
      <c r="L1670" s="438"/>
      <c r="M1670" s="865"/>
      <c r="N1670" s="864"/>
      <c r="O1670" s="561"/>
      <c r="P1670" s="453">
        <f>SUM(112.436/240)</f>
        <v>0.46848333333333336</v>
      </c>
      <c r="Q1670" s="865"/>
      <c r="R1670" s="454">
        <f>K1670*P1670</f>
        <v>10.306633333333334</v>
      </c>
      <c r="S1670" s="438" t="s">
        <v>144</v>
      </c>
      <c r="T1670" s="441">
        <v>28</v>
      </c>
      <c r="U1670" s="1239"/>
    </row>
    <row r="1671" spans="1:27" s="39" customFormat="1">
      <c r="A1671" s="1771"/>
      <c r="B1671" s="1172"/>
      <c r="C1671" s="1014"/>
      <c r="D1671" s="1214"/>
      <c r="E1671" s="2129"/>
      <c r="F1671" s="2129"/>
      <c r="G1671" s="2129"/>
      <c r="H1671" s="2129"/>
      <c r="I1671" s="1215"/>
      <c r="J1671" s="1179"/>
      <c r="K1671" s="1215"/>
      <c r="L1671" s="1174"/>
      <c r="M1671" s="189"/>
      <c r="N1671" s="189"/>
      <c r="O1671" s="189"/>
      <c r="P1671" s="997"/>
      <c r="Q1671" s="1174"/>
      <c r="R1671" s="1219"/>
      <c r="S1671" s="1174"/>
      <c r="T1671" s="999"/>
      <c r="U1671" s="1589"/>
    </row>
    <row r="1672" spans="1:27" s="164" customFormat="1">
      <c r="A1672" s="1106"/>
      <c r="B1672" s="1123"/>
      <c r="C1672" s="1731"/>
      <c r="D1672" s="2730" t="s">
        <v>257</v>
      </c>
      <c r="E1672" s="2731"/>
      <c r="F1672" s="2731"/>
      <c r="G1672" s="2731"/>
      <c r="H1672" s="2731"/>
      <c r="I1672" s="2732"/>
      <c r="J1672" s="2490">
        <f>VLOOKUP(A1674,'11 - FINANCEIRA'!$A$16:$AE$156,30,FALSE)</f>
        <v>302.33999999999997</v>
      </c>
      <c r="K1672" s="2491"/>
      <c r="L1672" s="309" t="str">
        <f>VLOOKUP(A1674,'11 - FINANCEIRA'!_xlnm.Print_Area,4,FALSE)</f>
        <v>m</v>
      </c>
      <c r="M1672" s="2727" t="s">
        <v>258</v>
      </c>
      <c r="N1672" s="2728"/>
      <c r="O1672" s="2728"/>
      <c r="P1672" s="2728"/>
      <c r="Q1672" s="2729"/>
      <c r="R1672" s="248">
        <f>SUM(R1662:R1670)</f>
        <v>229.04296666666664</v>
      </c>
      <c r="S1672" s="310" t="str">
        <f>L1672</f>
        <v>m</v>
      </c>
      <c r="T1672" s="321"/>
      <c r="U1672" s="322"/>
      <c r="V1672" s="662"/>
    </row>
    <row r="1673" spans="1:27" s="164" customFormat="1">
      <c r="A1673" s="1106"/>
      <c r="B1673" s="1123"/>
      <c r="C1673" s="2182"/>
      <c r="D1673" s="2478" t="s">
        <v>259</v>
      </c>
      <c r="E1673" s="2479"/>
      <c r="F1673" s="2479"/>
      <c r="G1673" s="2479"/>
      <c r="H1673" s="2479"/>
      <c r="I1673" s="2480"/>
      <c r="J1673" s="2484">
        <f>R1672/J1672</f>
        <v>0.75756752883067624</v>
      </c>
      <c r="K1673" s="2485"/>
      <c r="L1673" s="743"/>
      <c r="M1673" s="2727" t="s">
        <v>260</v>
      </c>
      <c r="N1673" s="2728"/>
      <c r="O1673" s="2728"/>
      <c r="P1673" s="2728"/>
      <c r="Q1673" s="2729"/>
      <c r="R1673" s="248">
        <f>VLOOKUP(A1674,'11 - FINANCEIRA'!_xlnm.Print_Area,8,FALSE)</f>
        <v>218.73633333333331</v>
      </c>
      <c r="S1673" s="249" t="str">
        <f>L1672</f>
        <v>m</v>
      </c>
      <c r="T1673" s="244"/>
      <c r="U1673" s="1124"/>
      <c r="V1673" s="662"/>
    </row>
    <row r="1674" spans="1:27" s="164" customFormat="1">
      <c r="A1674" s="1106" t="s">
        <v>443</v>
      </c>
      <c r="B1674" s="250"/>
      <c r="C1674" s="598"/>
      <c r="D1674" s="2481"/>
      <c r="E1674" s="2482"/>
      <c r="F1674" s="2482"/>
      <c r="G1674" s="2482"/>
      <c r="H1674" s="2482"/>
      <c r="I1674" s="2483"/>
      <c r="J1674" s="2486"/>
      <c r="K1674" s="2487"/>
      <c r="L1674" s="751"/>
      <c r="M1674" s="2727" t="s">
        <v>261</v>
      </c>
      <c r="N1674" s="2728"/>
      <c r="O1674" s="2728"/>
      <c r="P1674" s="2728"/>
      <c r="Q1674" s="2729"/>
      <c r="R1674" s="248">
        <f>R1672-R1673</f>
        <v>10.306633333333338</v>
      </c>
      <c r="S1674" s="249" t="str">
        <f>L1672</f>
        <v>m</v>
      </c>
      <c r="T1674" s="562"/>
      <c r="U1674" s="563"/>
      <c r="V1674" s="662"/>
    </row>
    <row r="1675" spans="1:27" s="164" customFormat="1" hidden="1">
      <c r="A1675" s="1770"/>
      <c r="B1675" s="660"/>
      <c r="D1675" s="661"/>
      <c r="E1675" s="662"/>
      <c r="F1675" s="663"/>
      <c r="G1675" s="661"/>
      <c r="I1675" s="663"/>
      <c r="K1675" s="664"/>
      <c r="L1675" s="664"/>
      <c r="N1675" s="511"/>
      <c r="O1675" s="662"/>
      <c r="Q1675" s="665"/>
      <c r="R1675" s="666"/>
      <c r="S1675" s="667"/>
      <c r="U1675" s="662"/>
      <c r="V1675" s="662"/>
    </row>
    <row r="1676" spans="1:27" s="164" customFormat="1" ht="31.5" hidden="1">
      <c r="A1676" s="1106"/>
      <c r="B1676" s="717">
        <f>VLOOKUP(A1694,'11 - FINANCEIRA'!_xlnm.Print_Area,2,FALSE)</f>
        <v>42593</v>
      </c>
      <c r="C1676" s="785" t="str">
        <f>VLOOKUP(A1694,'11 - FINANCEIRA'!_xlnm.Print_Area,3,FALSE)</f>
        <v xml:space="preserve"> Remoção de solos moles, incluindo carregamento mecânico com escavadeira hidráulica emVias Urbanas</v>
      </c>
      <c r="D1676" s="2472" t="s">
        <v>242</v>
      </c>
      <c r="E1676" s="2473"/>
      <c r="F1676" s="2473"/>
      <c r="G1676" s="2473"/>
      <c r="H1676" s="2473"/>
      <c r="I1676" s="2474"/>
      <c r="J1676" s="733" t="s">
        <v>373</v>
      </c>
      <c r="K1676" s="733" t="s">
        <v>244</v>
      </c>
      <c r="L1676" s="733" t="s">
        <v>245</v>
      </c>
      <c r="M1676" s="733" t="s">
        <v>246</v>
      </c>
      <c r="N1676" s="733" t="s">
        <v>247</v>
      </c>
      <c r="O1676" s="733" t="s">
        <v>248</v>
      </c>
      <c r="P1676" s="173" t="s">
        <v>249</v>
      </c>
      <c r="Q1676" s="716" t="s">
        <v>250</v>
      </c>
      <c r="R1676" s="734" t="s">
        <v>139</v>
      </c>
      <c r="S1676" s="733" t="s">
        <v>251</v>
      </c>
      <c r="T1676" s="733" t="s">
        <v>252</v>
      </c>
      <c r="U1676" s="735" t="s">
        <v>253</v>
      </c>
      <c r="V1676" s="662"/>
    </row>
    <row r="1677" spans="1:27" s="164" customFormat="1" hidden="1">
      <c r="A1677" s="1106"/>
      <c r="B1677" s="718"/>
      <c r="C1677" s="736"/>
      <c r="D1677" s="2475" t="s">
        <v>254</v>
      </c>
      <c r="E1677" s="2476"/>
      <c r="F1677" s="2477"/>
      <c r="G1677" s="2469" t="s">
        <v>255</v>
      </c>
      <c r="H1677" s="2470"/>
      <c r="I1677" s="2471"/>
      <c r="J1677" s="740"/>
      <c r="K1677" s="740"/>
      <c r="L1677" s="740"/>
      <c r="M1677" s="740"/>
      <c r="N1677" s="740"/>
      <c r="O1677" s="740"/>
      <c r="P1677" s="177" t="s">
        <v>256</v>
      </c>
      <c r="Q1677" s="740"/>
      <c r="R1677" s="741"/>
      <c r="S1677" s="740"/>
      <c r="T1677" s="740"/>
      <c r="U1677" s="742"/>
      <c r="V1677" s="662"/>
    </row>
    <row r="1678" spans="1:27" s="176" customFormat="1" ht="30" hidden="1">
      <c r="A1678" s="1110"/>
      <c r="B1678" s="336"/>
      <c r="C1678" s="266" t="s">
        <v>496</v>
      </c>
      <c r="D1678" s="419">
        <v>-2</v>
      </c>
      <c r="E1678" s="420" t="s">
        <v>299</v>
      </c>
      <c r="F1678" s="421">
        <v>17.78</v>
      </c>
      <c r="G1678" s="422">
        <v>0</v>
      </c>
      <c r="H1678" s="423" t="s">
        <v>299</v>
      </c>
      <c r="I1678" s="424">
        <v>0</v>
      </c>
      <c r="J1678" s="425" t="s">
        <v>300</v>
      </c>
      <c r="K1678" s="425">
        <f t="shared" ref="K1678:K1685" si="223">(G1678-D1678)*20+I1678-F1678</f>
        <v>22.22</v>
      </c>
      <c r="L1678" s="425"/>
      <c r="M1678" s="425"/>
      <c r="N1678" s="425"/>
      <c r="O1678" s="425"/>
      <c r="P1678" s="813"/>
      <c r="Q1678" s="425"/>
      <c r="R1678" s="191">
        <v>619.03700000000003</v>
      </c>
      <c r="S1678" s="425" t="s">
        <v>164</v>
      </c>
      <c r="T1678" s="427">
        <v>12</v>
      </c>
      <c r="U1678" s="1744">
        <v>619.03700000000003</v>
      </c>
      <c r="V1678" s="850" t="s">
        <v>164</v>
      </c>
      <c r="W1678" s="175"/>
      <c r="X1678" s="175"/>
      <c r="Y1678" s="175"/>
      <c r="Z1678" s="175"/>
      <c r="AA1678" s="175"/>
    </row>
    <row r="1679" spans="1:27" s="176" customFormat="1" ht="30" hidden="1">
      <c r="A1679" s="1110"/>
      <c r="B1679" s="296"/>
      <c r="C1679" s="466" t="s">
        <v>496</v>
      </c>
      <c r="D1679" s="496">
        <v>0</v>
      </c>
      <c r="E1679" s="464" t="s">
        <v>299</v>
      </c>
      <c r="F1679" s="498">
        <v>0</v>
      </c>
      <c r="G1679" s="533">
        <v>2</v>
      </c>
      <c r="H1679" s="459" t="s">
        <v>299</v>
      </c>
      <c r="I1679" s="545">
        <v>0</v>
      </c>
      <c r="J1679" s="340" t="s">
        <v>300</v>
      </c>
      <c r="K1679" s="434">
        <f t="shared" si="223"/>
        <v>40</v>
      </c>
      <c r="L1679" s="340"/>
      <c r="M1679" s="340"/>
      <c r="N1679" s="340"/>
      <c r="O1679" s="340"/>
      <c r="P1679" s="461"/>
      <c r="Q1679" s="340"/>
      <c r="R1679" s="462">
        <v>1005.7619999999999</v>
      </c>
      <c r="S1679" s="340" t="s">
        <v>164</v>
      </c>
      <c r="T1679" s="347">
        <v>12</v>
      </c>
      <c r="U1679" s="1745">
        <v>1005.7619999999999</v>
      </c>
      <c r="V1679" s="803" t="s">
        <v>164</v>
      </c>
      <c r="W1679" s="175"/>
      <c r="X1679" s="175"/>
      <c r="Y1679" s="175"/>
      <c r="Z1679" s="175"/>
      <c r="AA1679" s="175"/>
    </row>
    <row r="1680" spans="1:27" s="175" customFormat="1" ht="30" hidden="1">
      <c r="A1680" s="1110"/>
      <c r="B1680" s="342"/>
      <c r="C1680" s="466" t="s">
        <v>496</v>
      </c>
      <c r="D1680" s="496">
        <v>2</v>
      </c>
      <c r="E1680" s="464" t="s">
        <v>299</v>
      </c>
      <c r="F1680" s="498">
        <v>0</v>
      </c>
      <c r="G1680" s="533">
        <v>7</v>
      </c>
      <c r="H1680" s="459" t="s">
        <v>299</v>
      </c>
      <c r="I1680" s="545">
        <v>0</v>
      </c>
      <c r="J1680" s="340" t="s">
        <v>300</v>
      </c>
      <c r="K1680" s="434">
        <f t="shared" si="223"/>
        <v>100</v>
      </c>
      <c r="L1680" s="344"/>
      <c r="M1680" s="344"/>
      <c r="N1680" s="344"/>
      <c r="O1680" s="345"/>
      <c r="P1680" s="344"/>
      <c r="Q1680" s="345"/>
      <c r="R1680" s="346">
        <v>2810.4290000000001</v>
      </c>
      <c r="S1680" s="345" t="s">
        <v>164</v>
      </c>
      <c r="T1680" s="347">
        <v>12</v>
      </c>
      <c r="U1680" s="1746">
        <v>2810.4290000000001</v>
      </c>
      <c r="V1680" s="804" t="s">
        <v>164</v>
      </c>
    </row>
    <row r="1681" spans="1:27" s="175" customFormat="1" ht="30" hidden="1">
      <c r="A1681" s="1110"/>
      <c r="B1681" s="342"/>
      <c r="C1681" s="339" t="s">
        <v>496</v>
      </c>
      <c r="D1681" s="496">
        <v>6</v>
      </c>
      <c r="E1681" s="464" t="s">
        <v>299</v>
      </c>
      <c r="F1681" s="498">
        <v>14</v>
      </c>
      <c r="G1681" s="533">
        <v>8</v>
      </c>
      <c r="H1681" s="459" t="s">
        <v>299</v>
      </c>
      <c r="I1681" s="545">
        <v>2</v>
      </c>
      <c r="J1681" s="340" t="s">
        <v>300</v>
      </c>
      <c r="K1681" s="434">
        <f t="shared" si="223"/>
        <v>28</v>
      </c>
      <c r="L1681" s="344"/>
      <c r="M1681" s="344"/>
      <c r="N1681" s="344"/>
      <c r="O1681" s="345"/>
      <c r="P1681" s="344"/>
      <c r="Q1681" s="345"/>
      <c r="R1681" s="346">
        <v>603.88300000000004</v>
      </c>
      <c r="S1681" s="345" t="s">
        <v>164</v>
      </c>
      <c r="T1681" s="347">
        <v>12</v>
      </c>
      <c r="U1681" s="1746">
        <v>603.88300000000004</v>
      </c>
      <c r="V1681" s="804" t="s">
        <v>164</v>
      </c>
    </row>
    <row r="1682" spans="1:27" s="176" customFormat="1" ht="30" hidden="1">
      <c r="A1682" s="1110"/>
      <c r="B1682" s="296"/>
      <c r="C1682" s="339" t="s">
        <v>501</v>
      </c>
      <c r="D1682" s="623">
        <v>0</v>
      </c>
      <c r="E1682" s="535" t="s">
        <v>299</v>
      </c>
      <c r="F1682" s="534">
        <v>14.04</v>
      </c>
      <c r="G1682" s="455">
        <v>11</v>
      </c>
      <c r="H1682" s="456" t="s">
        <v>299</v>
      </c>
      <c r="I1682" s="457">
        <v>10</v>
      </c>
      <c r="J1682" s="509"/>
      <c r="K1682" s="558">
        <f t="shared" si="223"/>
        <v>215.96</v>
      </c>
      <c r="L1682" s="509"/>
      <c r="M1682" s="509"/>
      <c r="N1682" s="509"/>
      <c r="O1682" s="900">
        <f>3044.669+410.75</f>
        <v>3455.4189999999999</v>
      </c>
      <c r="P1682" s="536"/>
      <c r="Q1682" s="509"/>
      <c r="R1682" s="537">
        <f t="shared" ref="R1682:R1688" si="224">O1682</f>
        <v>3455.4189999999999</v>
      </c>
      <c r="S1682" s="509" t="s">
        <v>164</v>
      </c>
      <c r="T1682" s="539">
        <v>12</v>
      </c>
      <c r="U1682" s="1747">
        <f>R1682</f>
        <v>3455.4189999999999</v>
      </c>
      <c r="V1682" s="856" t="s">
        <v>164</v>
      </c>
      <c r="W1682" s="175"/>
      <c r="X1682" s="175"/>
      <c r="Y1682" s="175"/>
      <c r="Z1682" s="175"/>
      <c r="AA1682" s="175"/>
    </row>
    <row r="1683" spans="1:27" s="176" customFormat="1" ht="30" hidden="1">
      <c r="A1683" s="1110"/>
      <c r="B1683" s="296"/>
      <c r="C1683" s="339" t="s">
        <v>501</v>
      </c>
      <c r="D1683" s="496">
        <v>6</v>
      </c>
      <c r="E1683" s="584" t="s">
        <v>299</v>
      </c>
      <c r="F1683" s="498">
        <v>0</v>
      </c>
      <c r="G1683" s="533">
        <v>8</v>
      </c>
      <c r="H1683" s="585" t="s">
        <v>299</v>
      </c>
      <c r="I1683" s="457">
        <v>2</v>
      </c>
      <c r="J1683" s="586"/>
      <c r="K1683" s="434">
        <f t="shared" si="223"/>
        <v>42</v>
      </c>
      <c r="L1683" s="434">
        <v>0.8</v>
      </c>
      <c r="M1683" s="340">
        <v>1.2</v>
      </c>
      <c r="N1683" s="340"/>
      <c r="O1683" s="477">
        <f>K1683*L1683*M1683</f>
        <v>40.32</v>
      </c>
      <c r="P1683" s="461"/>
      <c r="Q1683" s="340"/>
      <c r="R1683" s="462">
        <f t="shared" si="224"/>
        <v>40.32</v>
      </c>
      <c r="S1683" s="340" t="s">
        <v>164</v>
      </c>
      <c r="T1683" s="347">
        <v>12</v>
      </c>
      <c r="U1683" s="492" t="s">
        <v>581</v>
      </c>
      <c r="V1683" s="803" t="s">
        <v>164</v>
      </c>
      <c r="W1683" s="175"/>
      <c r="X1683" s="175"/>
      <c r="Y1683" s="175"/>
      <c r="Z1683" s="175"/>
      <c r="AA1683" s="175"/>
    </row>
    <row r="1684" spans="1:27" s="176" customFormat="1" ht="30" hidden="1">
      <c r="A1684" s="1110"/>
      <c r="B1684" s="296"/>
      <c r="C1684" s="339" t="s">
        <v>501</v>
      </c>
      <c r="D1684" s="496">
        <v>11</v>
      </c>
      <c r="E1684" s="584" t="s">
        <v>299</v>
      </c>
      <c r="F1684" s="498">
        <v>10</v>
      </c>
      <c r="G1684" s="533">
        <v>14</v>
      </c>
      <c r="H1684" s="585" t="s">
        <v>299</v>
      </c>
      <c r="I1684" s="545">
        <v>14</v>
      </c>
      <c r="J1684" s="586"/>
      <c r="K1684" s="434">
        <f t="shared" si="223"/>
        <v>64</v>
      </c>
      <c r="L1684" s="434"/>
      <c r="M1684" s="340"/>
      <c r="N1684" s="340"/>
      <c r="O1684" s="477">
        <v>926.01</v>
      </c>
      <c r="P1684" s="461"/>
      <c r="Q1684" s="340"/>
      <c r="R1684" s="462">
        <f t="shared" si="224"/>
        <v>926.01</v>
      </c>
      <c r="S1684" s="340" t="s">
        <v>164</v>
      </c>
      <c r="T1684" s="347">
        <v>13</v>
      </c>
      <c r="U1684" s="492" t="s">
        <v>581</v>
      </c>
      <c r="V1684" s="803" t="s">
        <v>164</v>
      </c>
      <c r="W1684" s="175"/>
      <c r="X1684" s="175"/>
      <c r="Y1684" s="175"/>
      <c r="Z1684" s="175"/>
      <c r="AA1684" s="175"/>
    </row>
    <row r="1685" spans="1:27" s="176" customFormat="1" ht="30" hidden="1">
      <c r="A1685" s="1110"/>
      <c r="B1685" s="296"/>
      <c r="C1685" s="339" t="s">
        <v>501</v>
      </c>
      <c r="D1685" s="496">
        <v>14</v>
      </c>
      <c r="E1685" s="584" t="s">
        <v>299</v>
      </c>
      <c r="F1685" s="498">
        <v>14</v>
      </c>
      <c r="G1685" s="533">
        <v>19</v>
      </c>
      <c r="H1685" s="585" t="s">
        <v>299</v>
      </c>
      <c r="I1685" s="545">
        <v>2</v>
      </c>
      <c r="J1685" s="586"/>
      <c r="K1685" s="434">
        <f t="shared" si="223"/>
        <v>88</v>
      </c>
      <c r="L1685" s="434"/>
      <c r="M1685" s="340"/>
      <c r="N1685" s="340"/>
      <c r="O1685" s="477">
        <v>1116.982</v>
      </c>
      <c r="P1685" s="461"/>
      <c r="Q1685" s="340"/>
      <c r="R1685" s="462">
        <f t="shared" si="224"/>
        <v>1116.982</v>
      </c>
      <c r="S1685" s="340" t="s">
        <v>164</v>
      </c>
      <c r="T1685" s="347">
        <v>14</v>
      </c>
      <c r="U1685" s="492" t="s">
        <v>581</v>
      </c>
      <c r="V1685" s="803" t="s">
        <v>164</v>
      </c>
      <c r="W1685" s="175"/>
      <c r="X1685" s="175"/>
      <c r="Y1685" s="175"/>
      <c r="Z1685" s="175"/>
      <c r="AA1685" s="175"/>
    </row>
    <row r="1686" spans="1:27" s="176" customFormat="1" ht="30" hidden="1">
      <c r="A1686" s="1110"/>
      <c r="B1686" s="296"/>
      <c r="C1686" s="339" t="s">
        <v>501</v>
      </c>
      <c r="D1686" s="496">
        <v>19</v>
      </c>
      <c r="E1686" s="584" t="s">
        <v>299</v>
      </c>
      <c r="F1686" s="498">
        <v>2</v>
      </c>
      <c r="G1686" s="533">
        <v>21</v>
      </c>
      <c r="H1686" s="585" t="s">
        <v>299</v>
      </c>
      <c r="I1686" s="545">
        <v>9</v>
      </c>
      <c r="J1686" s="586"/>
      <c r="K1686" s="434">
        <f>(G1686-D1686)*20+I1686-F1686</f>
        <v>47</v>
      </c>
      <c r="L1686" s="434"/>
      <c r="M1686" s="340"/>
      <c r="N1686" s="340"/>
      <c r="O1686" s="477">
        <v>741.904</v>
      </c>
      <c r="P1686" s="461"/>
      <c r="Q1686" s="340"/>
      <c r="R1686" s="462">
        <f t="shared" si="224"/>
        <v>741.904</v>
      </c>
      <c r="S1686" s="340" t="s">
        <v>164</v>
      </c>
      <c r="T1686" s="347">
        <v>15</v>
      </c>
      <c r="U1686" s="492" t="s">
        <v>581</v>
      </c>
      <c r="V1686" s="306">
        <f>V1693</f>
        <v>0</v>
      </c>
      <c r="W1686" s="175"/>
      <c r="X1686" s="175"/>
      <c r="Y1686" s="175"/>
      <c r="Z1686" s="175"/>
      <c r="AA1686" s="175"/>
    </row>
    <row r="1687" spans="1:27" s="176" customFormat="1" ht="30" hidden="1">
      <c r="A1687" s="1110"/>
      <c r="B1687" s="296"/>
      <c r="C1687" s="339" t="s">
        <v>501</v>
      </c>
      <c r="D1687" s="496">
        <f>G1686</f>
        <v>21</v>
      </c>
      <c r="E1687" s="584" t="s">
        <v>299</v>
      </c>
      <c r="F1687" s="498">
        <f>I1686</f>
        <v>9</v>
      </c>
      <c r="G1687" s="533">
        <v>25</v>
      </c>
      <c r="H1687" s="585" t="s">
        <v>299</v>
      </c>
      <c r="I1687" s="545">
        <v>16</v>
      </c>
      <c r="J1687" s="586"/>
      <c r="K1687" s="434">
        <f>(G1687-D1687)*20+I1687-F1687</f>
        <v>87</v>
      </c>
      <c r="L1687" s="434"/>
      <c r="M1687" s="340"/>
      <c r="N1687" s="340"/>
      <c r="O1687" s="477">
        <v>1249.5889999999999</v>
      </c>
      <c r="P1687" s="461"/>
      <c r="Q1687" s="340"/>
      <c r="R1687" s="462">
        <f t="shared" si="224"/>
        <v>1249.5889999999999</v>
      </c>
      <c r="S1687" s="340" t="s">
        <v>164</v>
      </c>
      <c r="T1687" s="347">
        <v>16</v>
      </c>
      <c r="U1687" s="492" t="s">
        <v>581</v>
      </c>
      <c r="V1687" s="306">
        <f>V1694</f>
        <v>0</v>
      </c>
      <c r="W1687" s="175"/>
      <c r="X1687" s="175"/>
      <c r="Y1687" s="175"/>
      <c r="Z1687" s="175"/>
      <c r="AA1687" s="175"/>
    </row>
    <row r="1688" spans="1:27" s="176" customFormat="1" ht="30" hidden="1">
      <c r="A1688" s="1110"/>
      <c r="B1688" s="296"/>
      <c r="C1688" s="466" t="s">
        <v>496</v>
      </c>
      <c r="D1688" s="496">
        <v>7</v>
      </c>
      <c r="E1688" s="464" t="s">
        <v>299</v>
      </c>
      <c r="F1688" s="498">
        <v>4</v>
      </c>
      <c r="G1688" s="533">
        <v>8</v>
      </c>
      <c r="H1688" s="459" t="s">
        <v>299</v>
      </c>
      <c r="I1688" s="545">
        <v>13</v>
      </c>
      <c r="J1688" s="340" t="s">
        <v>300</v>
      </c>
      <c r="K1688" s="434">
        <f>(G1688-D1688)*20+I1688-F1688</f>
        <v>29</v>
      </c>
      <c r="L1688" s="340"/>
      <c r="M1688" s="340"/>
      <c r="N1688" s="340"/>
      <c r="O1688" s="340">
        <v>419.60300000000001</v>
      </c>
      <c r="P1688" s="461"/>
      <c r="Q1688" s="340"/>
      <c r="R1688" s="462">
        <f t="shared" si="224"/>
        <v>419.60300000000001</v>
      </c>
      <c r="S1688" s="340" t="s">
        <v>164</v>
      </c>
      <c r="T1688" s="347">
        <v>18</v>
      </c>
      <c r="U1688" s="1748"/>
      <c r="V1688" s="803"/>
      <c r="W1688" s="175"/>
      <c r="X1688" s="175"/>
      <c r="Y1688" s="175"/>
      <c r="Z1688" s="175"/>
      <c r="AA1688" s="175"/>
    </row>
    <row r="1689" spans="1:27" ht="30" hidden="1">
      <c r="A1689" s="1110"/>
      <c r="B1689" s="296"/>
      <c r="C1689" s="466" t="s">
        <v>496</v>
      </c>
      <c r="D1689" s="496">
        <v>9</v>
      </c>
      <c r="E1689" s="464" t="s">
        <v>299</v>
      </c>
      <c r="F1689" s="498">
        <v>16</v>
      </c>
      <c r="G1689" s="533">
        <v>11</v>
      </c>
      <c r="H1689" s="459" t="s">
        <v>299</v>
      </c>
      <c r="I1689" s="545">
        <v>7</v>
      </c>
      <c r="J1689" s="340" t="s">
        <v>300</v>
      </c>
      <c r="K1689" s="434">
        <f>(G1689-D1689)*20+I1689-F1689</f>
        <v>31</v>
      </c>
      <c r="L1689" s="340"/>
      <c r="M1689" s="340"/>
      <c r="N1689" s="340"/>
      <c r="O1689" s="340">
        <v>875.59199999999998</v>
      </c>
      <c r="P1689" s="461"/>
      <c r="Q1689" s="1067"/>
      <c r="R1689" s="462">
        <f>O1689</f>
        <v>875.59199999999998</v>
      </c>
      <c r="S1689" s="340" t="s">
        <v>164</v>
      </c>
      <c r="T1689" s="347">
        <v>19</v>
      </c>
      <c r="U1689" s="1748"/>
      <c r="V1689" s="842"/>
    </row>
    <row r="1690" spans="1:27" hidden="1">
      <c r="A1690" s="1110"/>
      <c r="B1690" s="296"/>
      <c r="C1690" s="466" t="s">
        <v>891</v>
      </c>
      <c r="D1690" s="496"/>
      <c r="E1690" s="464"/>
      <c r="F1690" s="498"/>
      <c r="G1690" s="533"/>
      <c r="H1690" s="459"/>
      <c r="I1690" s="545"/>
      <c r="J1690" s="340"/>
      <c r="K1690" s="434"/>
      <c r="L1690" s="340"/>
      <c r="M1690" s="340"/>
      <c r="N1690" s="340"/>
      <c r="O1690" s="340"/>
      <c r="P1690" s="461"/>
      <c r="Q1690" s="340"/>
      <c r="R1690" s="616">
        <v>-502.23999999999802</v>
      </c>
      <c r="S1690" s="340" t="s">
        <v>164</v>
      </c>
      <c r="T1690" s="355">
        <v>22</v>
      </c>
      <c r="U1690" s="1748" t="s">
        <v>890</v>
      </c>
      <c r="V1690" s="842"/>
    </row>
    <row r="1691" spans="1:27" s="164" customFormat="1" hidden="1">
      <c r="A1691" s="1106"/>
      <c r="B1691" s="1749"/>
      <c r="C1691" s="1750"/>
      <c r="D1691" s="1587"/>
      <c r="E1691" s="1759"/>
      <c r="F1691" s="1588"/>
      <c r="G1691" s="1756"/>
      <c r="H1691" s="1758"/>
      <c r="I1691" s="1757"/>
      <c r="J1691" s="1752"/>
      <c r="K1691" s="1751"/>
      <c r="L1691" s="1752"/>
      <c r="M1691" s="1752"/>
      <c r="N1691" s="1752"/>
      <c r="O1691" s="1752"/>
      <c r="P1691" s="1753"/>
      <c r="Q1691" s="1752"/>
      <c r="R1691" s="1496"/>
      <c r="S1691" s="1752"/>
      <c r="T1691" s="1754"/>
      <c r="U1691" s="1755"/>
      <c r="V1691" s="662"/>
    </row>
    <row r="1692" spans="1:27" s="164" customFormat="1" hidden="1">
      <c r="A1692" s="1106"/>
      <c r="B1692" s="239"/>
      <c r="C1692" s="2736"/>
      <c r="D1692" s="2730" t="s">
        <v>257</v>
      </c>
      <c r="E1692" s="2731"/>
      <c r="F1692" s="2731"/>
      <c r="G1692" s="2731"/>
      <c r="H1692" s="2731"/>
      <c r="I1692" s="2732"/>
      <c r="J1692" s="2490">
        <f>VLOOKUP(A1694,'11 - FINANCEIRA'!_xlnm.Print_Area,28,FALSE)</f>
        <v>13362.29</v>
      </c>
      <c r="K1692" s="2491"/>
      <c r="L1692" s="309" t="str">
        <f>VLOOKUP(A1694,'11 - FINANCEIRA'!_xlnm.Print_Area,4,FALSE)</f>
        <v>M³</v>
      </c>
      <c r="M1692" s="2727" t="s">
        <v>258</v>
      </c>
      <c r="N1692" s="2728"/>
      <c r="O1692" s="2728"/>
      <c r="P1692" s="2728"/>
      <c r="Q1692" s="2729"/>
      <c r="R1692" s="248">
        <f>SUM(R1678:R1690)</f>
        <v>13362.29</v>
      </c>
      <c r="S1692" s="310" t="str">
        <f>L1692</f>
        <v>M³</v>
      </c>
      <c r="T1692" s="321"/>
      <c r="U1692" s="322"/>
      <c r="V1692" s="662"/>
    </row>
    <row r="1693" spans="1:27" s="164" customFormat="1" hidden="1">
      <c r="A1693" s="1106"/>
      <c r="B1693" s="246"/>
      <c r="C1693" s="2737"/>
      <c r="D1693" s="2478" t="s">
        <v>259</v>
      </c>
      <c r="E1693" s="2479"/>
      <c r="F1693" s="2479"/>
      <c r="G1693" s="2479"/>
      <c r="H1693" s="2479"/>
      <c r="I1693" s="2480"/>
      <c r="J1693" s="2484">
        <f>R1692/J1692</f>
        <v>1</v>
      </c>
      <c r="K1693" s="2485"/>
      <c r="L1693" s="743"/>
      <c r="M1693" s="2727" t="s">
        <v>260</v>
      </c>
      <c r="N1693" s="2728"/>
      <c r="O1693" s="2728"/>
      <c r="P1693" s="2728"/>
      <c r="Q1693" s="2729"/>
      <c r="R1693" s="248">
        <f>VLOOKUP(A1694,'11 - FINANCEIRA'!_xlnm.Print_Area,8,FALSE)</f>
        <v>13362.29</v>
      </c>
      <c r="S1693" s="249" t="str">
        <f>L1692</f>
        <v>M³</v>
      </c>
      <c r="T1693" s="244"/>
      <c r="U1693" s="245"/>
      <c r="V1693" s="662"/>
    </row>
    <row r="1694" spans="1:27" s="164" customFormat="1" hidden="1">
      <c r="A1694" s="1106" t="s">
        <v>444</v>
      </c>
      <c r="B1694" s="250"/>
      <c r="C1694" s="2738"/>
      <c r="D1694" s="2481"/>
      <c r="E1694" s="2482"/>
      <c r="F1694" s="2482"/>
      <c r="G1694" s="2482"/>
      <c r="H1694" s="2482"/>
      <c r="I1694" s="2483"/>
      <c r="J1694" s="2486"/>
      <c r="K1694" s="2487"/>
      <c r="L1694" s="751"/>
      <c r="M1694" s="2727" t="s">
        <v>261</v>
      </c>
      <c r="N1694" s="2728"/>
      <c r="O1694" s="2728"/>
      <c r="P1694" s="2728"/>
      <c r="Q1694" s="2729"/>
      <c r="R1694" s="248">
        <f>R1692-R1693</f>
        <v>0</v>
      </c>
      <c r="S1694" s="249" t="str">
        <f>L1692</f>
        <v>M³</v>
      </c>
      <c r="T1694" s="562"/>
      <c r="U1694" s="563"/>
      <c r="V1694" s="662"/>
    </row>
    <row r="1695" spans="1:27" s="164" customFormat="1" hidden="1">
      <c r="A1695" s="1770"/>
      <c r="B1695" s="660"/>
      <c r="D1695" s="661"/>
      <c r="E1695" s="662"/>
      <c r="F1695" s="663"/>
      <c r="G1695" s="661"/>
      <c r="I1695" s="663"/>
      <c r="K1695" s="664"/>
      <c r="L1695" s="664"/>
      <c r="N1695" s="511"/>
      <c r="O1695" s="662"/>
      <c r="Q1695" s="665"/>
      <c r="R1695" s="666"/>
      <c r="S1695" s="667"/>
      <c r="U1695" s="662"/>
      <c r="V1695" s="662"/>
    </row>
    <row r="1696" spans="1:27" s="164" customFormat="1" ht="31.5" hidden="1">
      <c r="A1696" s="1106"/>
      <c r="B1696" s="717">
        <f>VLOOKUP(A1715,'11 - FINANCEIRA'!_xlnm.Print_Area,2,FALSE)</f>
        <v>60019</v>
      </c>
      <c r="C1696" s="785" t="str">
        <f>VLOOKUP(A1715,'11 - FINANCEIRA'!_xlnm.Print_Area,3,FALSE)</f>
        <v>TRANSPORTE, CARGA E DESCARGA LOCAL COM DMT ATÉ 3,0 KM (Caminhão basculante)</v>
      </c>
      <c r="D1696" s="2472" t="s">
        <v>242</v>
      </c>
      <c r="E1696" s="2473"/>
      <c r="F1696" s="2473"/>
      <c r="G1696" s="2473"/>
      <c r="H1696" s="2473"/>
      <c r="I1696" s="2474"/>
      <c r="J1696" s="733" t="s">
        <v>373</v>
      </c>
      <c r="K1696" s="733" t="s">
        <v>244</v>
      </c>
      <c r="L1696" s="733" t="s">
        <v>245</v>
      </c>
      <c r="M1696" s="733" t="s">
        <v>246</v>
      </c>
      <c r="N1696" s="733" t="s">
        <v>247</v>
      </c>
      <c r="O1696" s="733" t="s">
        <v>248</v>
      </c>
      <c r="P1696" s="173" t="s">
        <v>249</v>
      </c>
      <c r="Q1696" s="716" t="s">
        <v>250</v>
      </c>
      <c r="R1696" s="734" t="s">
        <v>139</v>
      </c>
      <c r="S1696" s="733" t="s">
        <v>251</v>
      </c>
      <c r="T1696" s="733" t="s">
        <v>252</v>
      </c>
      <c r="U1696" s="735" t="s">
        <v>253</v>
      </c>
      <c r="V1696" s="662"/>
    </row>
    <row r="1697" spans="1:27" s="164" customFormat="1" hidden="1">
      <c r="A1697" s="1106"/>
      <c r="B1697" s="718"/>
      <c r="C1697" s="736"/>
      <c r="D1697" s="2475" t="s">
        <v>254</v>
      </c>
      <c r="E1697" s="2476"/>
      <c r="F1697" s="2477"/>
      <c r="G1697" s="2469" t="s">
        <v>255</v>
      </c>
      <c r="H1697" s="2470"/>
      <c r="I1697" s="2471"/>
      <c r="J1697" s="740"/>
      <c r="K1697" s="740"/>
      <c r="L1697" s="740"/>
      <c r="M1697" s="740"/>
      <c r="N1697" s="740"/>
      <c r="O1697" s="740"/>
      <c r="P1697" s="177" t="s">
        <v>256</v>
      </c>
      <c r="Q1697" s="740"/>
      <c r="R1697" s="741"/>
      <c r="S1697" s="740"/>
      <c r="T1697" s="740"/>
      <c r="U1697" s="742"/>
      <c r="V1697" s="662"/>
    </row>
    <row r="1698" spans="1:27" s="176" customFormat="1" hidden="1">
      <c r="A1698" s="1110"/>
      <c r="B1698" s="336"/>
      <c r="C1698" s="266" t="s">
        <v>524</v>
      </c>
      <c r="D1698" s="419">
        <v>0</v>
      </c>
      <c r="E1698" s="592" t="s">
        <v>299</v>
      </c>
      <c r="F1698" s="421">
        <v>14.04</v>
      </c>
      <c r="G1698" s="422">
        <v>11</v>
      </c>
      <c r="H1698" s="593" t="s">
        <v>299</v>
      </c>
      <c r="I1698" s="424">
        <v>10</v>
      </c>
      <c r="J1698" s="425"/>
      <c r="K1698" s="548">
        <f>(G1698-D1698)*20+I1698-F1698</f>
        <v>215.96</v>
      </c>
      <c r="L1698" s="425"/>
      <c r="M1698" s="425"/>
      <c r="N1698" s="425"/>
      <c r="O1698" s="550">
        <v>3455.4189999999999</v>
      </c>
      <c r="P1698" s="514">
        <v>1.71</v>
      </c>
      <c r="Q1698" s="425"/>
      <c r="R1698" s="515">
        <f>P1698*O1698</f>
        <v>5908.76649</v>
      </c>
      <c r="S1698" s="425" t="s">
        <v>166</v>
      </c>
      <c r="T1698" s="427">
        <v>12</v>
      </c>
      <c r="U1698" s="637" t="s">
        <v>493</v>
      </c>
      <c r="V1698" s="306" t="e">
        <f>V1699</f>
        <v>#REF!</v>
      </c>
      <c r="W1698" s="175"/>
      <c r="X1698" s="175"/>
      <c r="Y1698" s="175"/>
      <c r="Z1698" s="175"/>
      <c r="AA1698" s="175"/>
    </row>
    <row r="1699" spans="1:27" s="175" customFormat="1" hidden="1">
      <c r="A1699" s="1110"/>
      <c r="B1699" s="594"/>
      <c r="C1699" s="339" t="s">
        <v>524</v>
      </c>
      <c r="D1699" s="496">
        <v>6</v>
      </c>
      <c r="E1699" s="584" t="s">
        <v>299</v>
      </c>
      <c r="F1699" s="498">
        <v>0</v>
      </c>
      <c r="G1699" s="533">
        <v>8</v>
      </c>
      <c r="H1699" s="585" t="s">
        <v>299</v>
      </c>
      <c r="I1699" s="545">
        <v>2</v>
      </c>
      <c r="J1699" s="586"/>
      <c r="K1699" s="434">
        <f>(G1699-D1699)*20+I1699-F1699</f>
        <v>42</v>
      </c>
      <c r="L1699" s="434">
        <v>0.8</v>
      </c>
      <c r="M1699" s="434">
        <v>1.2</v>
      </c>
      <c r="N1699" s="340"/>
      <c r="O1699" s="477">
        <v>40.32</v>
      </c>
      <c r="P1699" s="461">
        <v>1.71</v>
      </c>
      <c r="Q1699" s="340"/>
      <c r="R1699" s="537">
        <f>P1699*O1699</f>
        <v>68.947199999999995</v>
      </c>
      <c r="S1699" s="340" t="s">
        <v>166</v>
      </c>
      <c r="T1699" s="539">
        <v>12</v>
      </c>
      <c r="U1699" s="492" t="s">
        <v>493</v>
      </c>
      <c r="V1699" s="306" t="e">
        <f>V1702</f>
        <v>#REF!</v>
      </c>
    </row>
    <row r="1700" spans="1:27" s="176" customFormat="1" ht="30" hidden="1">
      <c r="A1700" s="1109"/>
      <c r="B1700" s="851"/>
      <c r="C1700" s="802" t="s">
        <v>207</v>
      </c>
      <c r="D1700" s="853"/>
      <c r="E1700" s="535"/>
      <c r="F1700" s="860"/>
      <c r="G1700" s="854"/>
      <c r="H1700" s="456"/>
      <c r="I1700" s="855"/>
      <c r="J1700" s="856"/>
      <c r="K1700" s="856"/>
      <c r="L1700" s="803"/>
      <c r="M1700" s="803"/>
      <c r="N1700" s="803"/>
      <c r="O1700" s="857"/>
      <c r="P1700" s="803"/>
      <c r="Q1700" s="803"/>
      <c r="R1700" s="852"/>
      <c r="S1700" s="803"/>
      <c r="T1700" s="858">
        <v>12</v>
      </c>
      <c r="U1700" s="859" t="s">
        <v>493</v>
      </c>
      <c r="V1700" s="429"/>
      <c r="W1700" s="175"/>
      <c r="X1700" s="175"/>
      <c r="Y1700" s="175"/>
      <c r="Z1700" s="175"/>
      <c r="AA1700" s="175"/>
    </row>
    <row r="1701" spans="1:27" s="176" customFormat="1" ht="30" hidden="1">
      <c r="A1701" s="1110"/>
      <c r="B1701" s="296"/>
      <c r="C1701" s="339" t="s">
        <v>207</v>
      </c>
      <c r="D1701" s="623">
        <v>-2</v>
      </c>
      <c r="E1701" s="535" t="s">
        <v>299</v>
      </c>
      <c r="F1701" s="625">
        <v>17.78</v>
      </c>
      <c r="G1701" s="455">
        <v>0</v>
      </c>
      <c r="H1701" s="456" t="s">
        <v>299</v>
      </c>
      <c r="I1701" s="457">
        <v>0</v>
      </c>
      <c r="J1701" s="509" t="s">
        <v>300</v>
      </c>
      <c r="K1701" s="509">
        <f t="shared" ref="K1701:K1708" si="225">(G1701-D1701)*20+I1701-F1701</f>
        <v>22.22</v>
      </c>
      <c r="L1701" s="340"/>
      <c r="M1701" s="340"/>
      <c r="N1701" s="340"/>
      <c r="O1701" s="900">
        <v>619.03700000000003</v>
      </c>
      <c r="P1701" s="340">
        <v>1.89</v>
      </c>
      <c r="Q1701" s="340"/>
      <c r="R1701" s="462">
        <f t="shared" ref="R1701:R1708" si="226">P1701*O1701</f>
        <v>1169.97993</v>
      </c>
      <c r="S1701" s="340" t="s">
        <v>306</v>
      </c>
      <c r="T1701" s="539">
        <v>12</v>
      </c>
      <c r="U1701" s="492" t="s">
        <v>493</v>
      </c>
      <c r="V1701" s="429" t="e">
        <f>V1702</f>
        <v>#REF!</v>
      </c>
      <c r="W1701" s="175"/>
      <c r="X1701" s="175"/>
      <c r="Y1701" s="175"/>
      <c r="Z1701" s="175"/>
      <c r="AA1701" s="175"/>
    </row>
    <row r="1702" spans="1:27" s="176" customFormat="1" ht="30" hidden="1">
      <c r="A1702" s="1110"/>
      <c r="B1702" s="296"/>
      <c r="C1702" s="466" t="s">
        <v>207</v>
      </c>
      <c r="D1702" s="496">
        <v>0</v>
      </c>
      <c r="E1702" s="464" t="s">
        <v>299</v>
      </c>
      <c r="F1702" s="498">
        <v>0</v>
      </c>
      <c r="G1702" s="533">
        <v>2</v>
      </c>
      <c r="H1702" s="459" t="s">
        <v>299</v>
      </c>
      <c r="I1702" s="545">
        <v>0</v>
      </c>
      <c r="J1702" s="340" t="s">
        <v>300</v>
      </c>
      <c r="K1702" s="434">
        <f t="shared" si="225"/>
        <v>40</v>
      </c>
      <c r="L1702" s="340"/>
      <c r="M1702" s="340"/>
      <c r="N1702" s="340"/>
      <c r="O1702" s="477">
        <v>1005.7619999999999</v>
      </c>
      <c r="P1702" s="340">
        <v>1.89</v>
      </c>
      <c r="Q1702" s="340"/>
      <c r="R1702" s="462">
        <f t="shared" si="226"/>
        <v>1900.8901799999999</v>
      </c>
      <c r="S1702" s="340" t="s">
        <v>306</v>
      </c>
      <c r="T1702" s="539">
        <v>12</v>
      </c>
      <c r="U1702" s="492" t="s">
        <v>493</v>
      </c>
      <c r="V1702" s="429" t="e">
        <f>V1703</f>
        <v>#REF!</v>
      </c>
      <c r="W1702" s="175"/>
      <c r="X1702" s="175"/>
      <c r="Y1702" s="175"/>
      <c r="Z1702" s="175"/>
      <c r="AA1702" s="175"/>
    </row>
    <row r="1703" spans="1:27" s="175" customFormat="1" ht="30" hidden="1">
      <c r="A1703" s="1110"/>
      <c r="B1703" s="342"/>
      <c r="C1703" s="466" t="s">
        <v>207</v>
      </c>
      <c r="D1703" s="533">
        <v>2</v>
      </c>
      <c r="E1703" s="459" t="s">
        <v>299</v>
      </c>
      <c r="F1703" s="545">
        <v>0</v>
      </c>
      <c r="G1703" s="533">
        <v>6</v>
      </c>
      <c r="H1703" s="459" t="s">
        <v>299</v>
      </c>
      <c r="I1703" s="545">
        <v>14</v>
      </c>
      <c r="J1703" s="340" t="s">
        <v>300</v>
      </c>
      <c r="K1703" s="434">
        <f t="shared" si="225"/>
        <v>94</v>
      </c>
      <c r="L1703" s="344"/>
      <c r="M1703" s="344"/>
      <c r="N1703" s="344"/>
      <c r="O1703" s="477">
        <v>2810.4290000000001</v>
      </c>
      <c r="P1703" s="340">
        <v>1.89</v>
      </c>
      <c r="Q1703" s="340"/>
      <c r="R1703" s="462">
        <f t="shared" si="226"/>
        <v>5311.7108099999996</v>
      </c>
      <c r="S1703" s="345" t="s">
        <v>306</v>
      </c>
      <c r="T1703" s="539">
        <v>12</v>
      </c>
      <c r="U1703" s="492" t="s">
        <v>493</v>
      </c>
      <c r="V1703" s="429" t="e">
        <f>#REF!</f>
        <v>#REF!</v>
      </c>
    </row>
    <row r="1704" spans="1:27" s="175" customFormat="1" ht="30" hidden="1">
      <c r="A1704" s="1110"/>
      <c r="B1704" s="342"/>
      <c r="C1704" s="339" t="s">
        <v>207</v>
      </c>
      <c r="D1704" s="533">
        <v>6</v>
      </c>
      <c r="E1704" s="459" t="s">
        <v>299</v>
      </c>
      <c r="F1704" s="545">
        <v>14</v>
      </c>
      <c r="G1704" s="533">
        <v>8</v>
      </c>
      <c r="H1704" s="459" t="s">
        <v>299</v>
      </c>
      <c r="I1704" s="545">
        <v>2</v>
      </c>
      <c r="J1704" s="340" t="s">
        <v>300</v>
      </c>
      <c r="K1704" s="434">
        <f t="shared" si="225"/>
        <v>28</v>
      </c>
      <c r="L1704" s="344"/>
      <c r="M1704" s="344"/>
      <c r="N1704" s="344"/>
      <c r="O1704" s="477">
        <v>603.88300000000004</v>
      </c>
      <c r="P1704" s="340">
        <v>1.89</v>
      </c>
      <c r="Q1704" s="340"/>
      <c r="R1704" s="462">
        <f t="shared" si="226"/>
        <v>1141.33887</v>
      </c>
      <c r="S1704" s="345" t="s">
        <v>306</v>
      </c>
      <c r="T1704" s="539">
        <v>12</v>
      </c>
      <c r="U1704" s="492" t="s">
        <v>493</v>
      </c>
      <c r="V1704" s="429" t="e">
        <f>#REF!</f>
        <v>#REF!</v>
      </c>
    </row>
    <row r="1705" spans="1:27" s="175" customFormat="1" ht="30" hidden="1">
      <c r="A1705" s="1110"/>
      <c r="B1705" s="342"/>
      <c r="C1705" s="339" t="s">
        <v>207</v>
      </c>
      <c r="D1705" s="533">
        <v>11</v>
      </c>
      <c r="E1705" s="459" t="s">
        <v>299</v>
      </c>
      <c r="F1705" s="545">
        <v>10</v>
      </c>
      <c r="G1705" s="533">
        <v>14</v>
      </c>
      <c r="H1705" s="459" t="s">
        <v>299</v>
      </c>
      <c r="I1705" s="545">
        <v>14</v>
      </c>
      <c r="J1705" s="340" t="s">
        <v>300</v>
      </c>
      <c r="K1705" s="434">
        <f t="shared" si="225"/>
        <v>64</v>
      </c>
      <c r="L1705" s="344"/>
      <c r="M1705" s="344"/>
      <c r="N1705" s="344"/>
      <c r="O1705" s="477">
        <v>926.01</v>
      </c>
      <c r="P1705" s="340">
        <v>1.89</v>
      </c>
      <c r="Q1705" s="340"/>
      <c r="R1705" s="462">
        <f t="shared" si="226"/>
        <v>1750.1588999999999</v>
      </c>
      <c r="S1705" s="345" t="s">
        <v>306</v>
      </c>
      <c r="T1705" s="539">
        <v>13</v>
      </c>
      <c r="U1705" s="492" t="s">
        <v>493</v>
      </c>
      <c r="V1705" s="429" t="e">
        <f>#REF!</f>
        <v>#REF!</v>
      </c>
    </row>
    <row r="1706" spans="1:27" s="175" customFormat="1" ht="30" hidden="1">
      <c r="A1706" s="1110"/>
      <c r="B1706" s="342"/>
      <c r="C1706" s="339" t="s">
        <v>207</v>
      </c>
      <c r="D1706" s="533">
        <v>14</v>
      </c>
      <c r="E1706" s="459" t="s">
        <v>299</v>
      </c>
      <c r="F1706" s="545">
        <v>14</v>
      </c>
      <c r="G1706" s="533">
        <v>19</v>
      </c>
      <c r="H1706" s="459" t="s">
        <v>299</v>
      </c>
      <c r="I1706" s="545">
        <v>2</v>
      </c>
      <c r="J1706" s="340" t="s">
        <v>300</v>
      </c>
      <c r="K1706" s="434">
        <f t="shared" si="225"/>
        <v>88</v>
      </c>
      <c r="L1706" s="344"/>
      <c r="M1706" s="344"/>
      <c r="N1706" s="344"/>
      <c r="O1706" s="477">
        <v>1116.982</v>
      </c>
      <c r="P1706" s="340">
        <v>1.89</v>
      </c>
      <c r="Q1706" s="340"/>
      <c r="R1706" s="462">
        <f t="shared" si="226"/>
        <v>2111.0959800000001</v>
      </c>
      <c r="S1706" s="345" t="s">
        <v>306</v>
      </c>
      <c r="T1706" s="539">
        <v>14</v>
      </c>
      <c r="U1706" s="492" t="s">
        <v>493</v>
      </c>
      <c r="V1706" s="429"/>
    </row>
    <row r="1707" spans="1:27" s="175" customFormat="1" ht="30" hidden="1">
      <c r="A1707" s="1110"/>
      <c r="B1707" s="342"/>
      <c r="C1707" s="339" t="s">
        <v>207</v>
      </c>
      <c r="D1707" s="533">
        <v>19</v>
      </c>
      <c r="E1707" s="459" t="s">
        <v>299</v>
      </c>
      <c r="F1707" s="545">
        <v>2</v>
      </c>
      <c r="G1707" s="533">
        <v>21</v>
      </c>
      <c r="H1707" s="459" t="s">
        <v>299</v>
      </c>
      <c r="I1707" s="545">
        <v>9</v>
      </c>
      <c r="J1707" s="340" t="s">
        <v>300</v>
      </c>
      <c r="K1707" s="434">
        <f t="shared" si="225"/>
        <v>47</v>
      </c>
      <c r="L1707" s="344"/>
      <c r="M1707" s="344"/>
      <c r="N1707" s="344"/>
      <c r="O1707" s="477">
        <f>O1686</f>
        <v>741.904</v>
      </c>
      <c r="P1707" s="340">
        <v>1.89</v>
      </c>
      <c r="Q1707" s="340"/>
      <c r="R1707" s="462">
        <f t="shared" si="226"/>
        <v>1402.1985599999998</v>
      </c>
      <c r="S1707" s="345" t="s">
        <v>306</v>
      </c>
      <c r="T1707" s="539">
        <v>15</v>
      </c>
      <c r="U1707" s="492" t="s">
        <v>493</v>
      </c>
      <c r="V1707" s="429"/>
    </row>
    <row r="1708" spans="1:27" s="175" customFormat="1" ht="30" hidden="1">
      <c r="A1708" s="1110"/>
      <c r="B1708" s="342"/>
      <c r="C1708" s="339" t="s">
        <v>207</v>
      </c>
      <c r="D1708" s="533">
        <f>G1707</f>
        <v>21</v>
      </c>
      <c r="E1708" s="459" t="s">
        <v>299</v>
      </c>
      <c r="F1708" s="545">
        <f>I1707</f>
        <v>9</v>
      </c>
      <c r="G1708" s="533">
        <v>25</v>
      </c>
      <c r="H1708" s="459" t="s">
        <v>299</v>
      </c>
      <c r="I1708" s="545">
        <v>16</v>
      </c>
      <c r="J1708" s="340" t="s">
        <v>300</v>
      </c>
      <c r="K1708" s="434">
        <f t="shared" si="225"/>
        <v>87</v>
      </c>
      <c r="L1708" s="344"/>
      <c r="M1708" s="344"/>
      <c r="N1708" s="344"/>
      <c r="O1708" s="477">
        <f>O1687</f>
        <v>1249.5889999999999</v>
      </c>
      <c r="P1708" s="340">
        <v>1.89</v>
      </c>
      <c r="Q1708" s="340"/>
      <c r="R1708" s="462">
        <f t="shared" si="226"/>
        <v>2361.7232099999997</v>
      </c>
      <c r="S1708" s="345" t="s">
        <v>306</v>
      </c>
      <c r="T1708" s="539">
        <v>16</v>
      </c>
      <c r="U1708" s="492" t="s">
        <v>493</v>
      </c>
      <c r="V1708" s="429"/>
    </row>
    <row r="1709" spans="1:27" s="175" customFormat="1" ht="30" hidden="1">
      <c r="A1709" s="1110"/>
      <c r="B1709" s="342"/>
      <c r="C1709" s="339" t="s">
        <v>207</v>
      </c>
      <c r="D1709" s="533">
        <f>D1688</f>
        <v>7</v>
      </c>
      <c r="E1709" s="649" t="s">
        <v>299</v>
      </c>
      <c r="F1709" s="545">
        <f>F1688</f>
        <v>4</v>
      </c>
      <c r="G1709" s="533">
        <f>G1688</f>
        <v>8</v>
      </c>
      <c r="H1709" s="649" t="s">
        <v>299</v>
      </c>
      <c r="I1709" s="545">
        <f>I1688</f>
        <v>13</v>
      </c>
      <c r="J1709" s="1704" t="str">
        <f>J1688</f>
        <v>EX</v>
      </c>
      <c r="K1709" s="1704">
        <f>K1688</f>
        <v>29</v>
      </c>
      <c r="L1709" s="344"/>
      <c r="M1709" s="344"/>
      <c r="N1709" s="344"/>
      <c r="O1709" s="477">
        <f>O1688</f>
        <v>419.60300000000001</v>
      </c>
      <c r="P1709" s="340">
        <v>1.89</v>
      </c>
      <c r="Q1709" s="340"/>
      <c r="R1709" s="462">
        <f>O1709*P1709</f>
        <v>793.04966999999999</v>
      </c>
      <c r="S1709" s="345" t="s">
        <v>306</v>
      </c>
      <c r="T1709" s="539">
        <v>18</v>
      </c>
      <c r="U1709" s="492" t="s">
        <v>493</v>
      </c>
      <c r="V1709" s="429"/>
    </row>
    <row r="1710" spans="1:27" s="175" customFormat="1" ht="30" hidden="1">
      <c r="A1710" s="1110"/>
      <c r="B1710" s="342"/>
      <c r="C1710" s="339" t="s">
        <v>207</v>
      </c>
      <c r="D1710" s="533">
        <v>9</v>
      </c>
      <c r="E1710" s="649" t="s">
        <v>299</v>
      </c>
      <c r="F1710" s="545">
        <v>16</v>
      </c>
      <c r="G1710" s="533">
        <v>11</v>
      </c>
      <c r="H1710" s="649" t="s">
        <v>299</v>
      </c>
      <c r="I1710" s="545">
        <v>7</v>
      </c>
      <c r="J1710" s="1704" t="str">
        <f>J1689</f>
        <v>EX</v>
      </c>
      <c r="K1710" s="1704">
        <f>K1689</f>
        <v>31</v>
      </c>
      <c r="L1710" s="344"/>
      <c r="M1710" s="344"/>
      <c r="N1710" s="344"/>
      <c r="O1710" s="477">
        <f>O1689</f>
        <v>875.59199999999998</v>
      </c>
      <c r="P1710" s="340">
        <v>1.89</v>
      </c>
      <c r="Q1710" s="1067"/>
      <c r="R1710" s="462">
        <f>O1710*P1710</f>
        <v>1654.86888</v>
      </c>
      <c r="S1710" s="345" t="s">
        <v>306</v>
      </c>
      <c r="T1710" s="539">
        <v>19</v>
      </c>
      <c r="U1710" s="492" t="s">
        <v>493</v>
      </c>
      <c r="V1710" s="429"/>
    </row>
    <row r="1711" spans="1:27" s="688" customFormat="1" hidden="1">
      <c r="A1711" s="1771"/>
      <c r="B1711" s="756"/>
      <c r="C1711" s="510" t="s">
        <v>892</v>
      </c>
      <c r="D1711" s="1466"/>
      <c r="E1711" s="906"/>
      <c r="F1711" s="1467"/>
      <c r="G1711" s="1466"/>
      <c r="H1711" s="906"/>
      <c r="I1711" s="1467"/>
      <c r="J1711" s="1735"/>
      <c r="K1711" s="1735"/>
      <c r="L1711" s="440"/>
      <c r="M1711" s="440"/>
      <c r="N1711" s="440"/>
      <c r="O1711" s="1229"/>
      <c r="P1711" s="438"/>
      <c r="Q1711" s="438"/>
      <c r="R1711" s="462">
        <v>4697.9413199999981</v>
      </c>
      <c r="S1711" s="345" t="s">
        <v>306</v>
      </c>
      <c r="T1711" s="892"/>
      <c r="U1711" s="595"/>
      <c r="V1711" s="764"/>
    </row>
    <row r="1712" spans="1:27" s="688" customFormat="1" hidden="1">
      <c r="A1712" s="1771"/>
      <c r="B1712" s="1386"/>
      <c r="C1712" s="1640"/>
      <c r="D1712" s="1742"/>
      <c r="E1712" s="956"/>
      <c r="F1712" s="1743"/>
      <c r="G1712" s="1742"/>
      <c r="H1712" s="956"/>
      <c r="I1712" s="1743"/>
      <c r="J1712" s="1736"/>
      <c r="K1712" s="1736"/>
      <c r="L1712" s="1737"/>
      <c r="M1712" s="1737"/>
      <c r="N1712" s="1737"/>
      <c r="O1712" s="1738"/>
      <c r="P1712" s="1739"/>
      <c r="Q1712" s="1739"/>
      <c r="R1712" s="1121"/>
      <c r="S1712" s="1740"/>
      <c r="T1712" s="1627"/>
      <c r="U1712" s="1741"/>
      <c r="V1712" s="764"/>
    </row>
    <row r="1713" spans="1:22" s="164" customFormat="1" hidden="1">
      <c r="A1713" s="1106"/>
      <c r="B1713" s="239"/>
      <c r="C1713" s="2736"/>
      <c r="D1713" s="2730" t="s">
        <v>257</v>
      </c>
      <c r="E1713" s="2731"/>
      <c r="F1713" s="2731"/>
      <c r="G1713" s="2731"/>
      <c r="H1713" s="2731"/>
      <c r="I1713" s="2732"/>
      <c r="J1713" s="2490">
        <f>VLOOKUP(A1715,'11 - FINANCEIRA'!_xlnm.Print_Area,28,FALSE)</f>
        <v>30272.67</v>
      </c>
      <c r="K1713" s="2491"/>
      <c r="L1713" s="309" t="str">
        <f>VLOOKUP(A1715,'11 - FINANCEIRA'!_xlnm.Print_Area,4,FALSE)</f>
        <v>T</v>
      </c>
      <c r="M1713" s="2727" t="s">
        <v>258</v>
      </c>
      <c r="N1713" s="2728"/>
      <c r="O1713" s="2728"/>
      <c r="P1713" s="2728"/>
      <c r="Q1713" s="2729"/>
      <c r="R1713" s="248">
        <f>SUM(R1698:R1711)</f>
        <v>30272.67</v>
      </c>
      <c r="S1713" s="310" t="str">
        <f>L1713</f>
        <v>T</v>
      </c>
      <c r="T1713" s="321"/>
      <c r="U1713" s="322"/>
      <c r="V1713" s="662"/>
    </row>
    <row r="1714" spans="1:22" s="164" customFormat="1" hidden="1">
      <c r="A1714" s="1106"/>
      <c r="B1714" s="246"/>
      <c r="C1714" s="2737"/>
      <c r="D1714" s="2478" t="s">
        <v>259</v>
      </c>
      <c r="E1714" s="2479"/>
      <c r="F1714" s="2479"/>
      <c r="G1714" s="2479"/>
      <c r="H1714" s="2479"/>
      <c r="I1714" s="2480"/>
      <c r="J1714" s="2484">
        <f>R1713/J1713</f>
        <v>1</v>
      </c>
      <c r="K1714" s="2485"/>
      <c r="L1714" s="743"/>
      <c r="M1714" s="2727" t="s">
        <v>260</v>
      </c>
      <c r="N1714" s="2728"/>
      <c r="O1714" s="2728"/>
      <c r="P1714" s="2728"/>
      <c r="Q1714" s="2729"/>
      <c r="R1714" s="248">
        <f>VLOOKUP(A1715,'11 - FINANCEIRA'!_xlnm.Print_Area,8,FALSE)</f>
        <v>30272.67</v>
      </c>
      <c r="S1714" s="249" t="str">
        <f>L1713</f>
        <v>T</v>
      </c>
      <c r="T1714" s="244"/>
      <c r="U1714" s="245"/>
      <c r="V1714" s="662"/>
    </row>
    <row r="1715" spans="1:22" s="164" customFormat="1" hidden="1">
      <c r="A1715" s="1106" t="s">
        <v>445</v>
      </c>
      <c r="B1715" s="250"/>
      <c r="C1715" s="2738"/>
      <c r="D1715" s="2481"/>
      <c r="E1715" s="2482"/>
      <c r="F1715" s="2482"/>
      <c r="G1715" s="2482"/>
      <c r="H1715" s="2482"/>
      <c r="I1715" s="2483"/>
      <c r="J1715" s="2486"/>
      <c r="K1715" s="2487"/>
      <c r="L1715" s="751"/>
      <c r="M1715" s="2727" t="s">
        <v>261</v>
      </c>
      <c r="N1715" s="2728"/>
      <c r="O1715" s="2728"/>
      <c r="P1715" s="2728"/>
      <c r="Q1715" s="2729"/>
      <c r="R1715" s="248">
        <f>R1713-R1714</f>
        <v>0</v>
      </c>
      <c r="S1715" s="249" t="str">
        <f>L1713</f>
        <v>T</v>
      </c>
      <c r="T1715" s="562"/>
      <c r="U1715" s="563"/>
      <c r="V1715" s="662"/>
    </row>
    <row r="1716" spans="1:22" s="164" customFormat="1" hidden="1">
      <c r="A1716" s="1770"/>
      <c r="B1716" s="660"/>
      <c r="D1716" s="661"/>
      <c r="E1716" s="662"/>
      <c r="F1716" s="663"/>
      <c r="G1716" s="661"/>
      <c r="I1716" s="663"/>
      <c r="K1716" s="664"/>
      <c r="L1716" s="664"/>
      <c r="N1716" s="511"/>
      <c r="O1716" s="662"/>
      <c r="Q1716" s="665"/>
      <c r="R1716" s="666"/>
      <c r="S1716" s="667"/>
      <c r="U1716" s="662"/>
      <c r="V1716" s="662"/>
    </row>
    <row r="1717" spans="1:22" s="164" customFormat="1" ht="63" hidden="1">
      <c r="A1717" s="1106"/>
      <c r="B1717" s="717" t="str">
        <f>VLOOKUP(A1724,'11 - FINANCEIRA'!_xlnm.Print_Area,2,FALSE)</f>
        <v xml:space="preserve"> 88908 SINAP </v>
      </c>
      <c r="C1717" s="785" t="str">
        <f>VLOOKUP(A1724,'11 - FINANCEIRA'!_xlnm.Print_Area,3,FALSE)</f>
        <v xml:space="preserve">
Caixa ralo blocos pré-moldados e grelhas articulada em FFA em vias urbanas 
</v>
      </c>
      <c r="D1717" s="2472" t="s">
        <v>242</v>
      </c>
      <c r="E1717" s="2473"/>
      <c r="F1717" s="2473"/>
      <c r="G1717" s="2473"/>
      <c r="H1717" s="2473"/>
      <c r="I1717" s="2474"/>
      <c r="J1717" s="733" t="s">
        <v>373</v>
      </c>
      <c r="K1717" s="733" t="s">
        <v>244</v>
      </c>
      <c r="L1717" s="733" t="s">
        <v>245</v>
      </c>
      <c r="M1717" s="733" t="s">
        <v>246</v>
      </c>
      <c r="N1717" s="733" t="s">
        <v>247</v>
      </c>
      <c r="O1717" s="733" t="s">
        <v>248</v>
      </c>
      <c r="P1717" s="173" t="s">
        <v>249</v>
      </c>
      <c r="Q1717" s="716" t="s">
        <v>250</v>
      </c>
      <c r="R1717" s="734" t="s">
        <v>139</v>
      </c>
      <c r="S1717" s="733" t="s">
        <v>251</v>
      </c>
      <c r="T1717" s="733" t="s">
        <v>252</v>
      </c>
      <c r="U1717" s="735" t="s">
        <v>253</v>
      </c>
      <c r="V1717" s="662"/>
    </row>
    <row r="1718" spans="1:22" s="164" customFormat="1" hidden="1">
      <c r="A1718" s="1106"/>
      <c r="B1718" s="718"/>
      <c r="C1718" s="736"/>
      <c r="D1718" s="2475" t="s">
        <v>254</v>
      </c>
      <c r="E1718" s="2476"/>
      <c r="F1718" s="2477"/>
      <c r="G1718" s="2469" t="s">
        <v>255</v>
      </c>
      <c r="H1718" s="2470"/>
      <c r="I1718" s="2471"/>
      <c r="J1718" s="740"/>
      <c r="K1718" s="740"/>
      <c r="L1718" s="740"/>
      <c r="M1718" s="740"/>
      <c r="N1718" s="740"/>
      <c r="O1718" s="740"/>
      <c r="P1718" s="177" t="s">
        <v>256</v>
      </c>
      <c r="Q1718" s="740"/>
      <c r="R1718" s="741"/>
      <c r="S1718" s="740"/>
      <c r="T1718" s="740"/>
      <c r="U1718" s="742"/>
      <c r="V1718" s="662"/>
    </row>
    <row r="1719" spans="1:22" s="40" customFormat="1" ht="20.25" hidden="1">
      <c r="A1719" s="1110"/>
      <c r="B1719" s="805"/>
      <c r="C1719" s="846" t="s">
        <v>509</v>
      </c>
      <c r="D1719" s="1237">
        <v>18</v>
      </c>
      <c r="E1719" s="524" t="s">
        <v>299</v>
      </c>
      <c r="F1719" s="599">
        <v>10</v>
      </c>
      <c r="G1719" s="1237"/>
      <c r="H1719" s="527"/>
      <c r="I1719" s="599"/>
      <c r="J1719" s="426"/>
      <c r="K1719" s="426"/>
      <c r="L1719" s="426"/>
      <c r="M1719" s="426"/>
      <c r="N1719" s="426"/>
      <c r="O1719" s="426"/>
      <c r="P1719" s="530"/>
      <c r="Q1719" s="426"/>
      <c r="R1719" s="531">
        <v>1</v>
      </c>
      <c r="S1719" s="426" t="s">
        <v>251</v>
      </c>
      <c r="T1719" s="532">
        <v>23</v>
      </c>
      <c r="U1719" s="1238"/>
    </row>
    <row r="1720" spans="1:22" s="164" customFormat="1" hidden="1">
      <c r="A1720" s="1105"/>
      <c r="B1720" s="206"/>
      <c r="C1720" s="287"/>
      <c r="D1720" s="288"/>
      <c r="E1720" s="289"/>
      <c r="F1720" s="290"/>
      <c r="G1720" s="288"/>
      <c r="H1720" s="289"/>
      <c r="I1720" s="290"/>
      <c r="J1720" s="201"/>
      <c r="K1720" s="291"/>
      <c r="L1720" s="291"/>
      <c r="M1720" s="291"/>
      <c r="N1720" s="291"/>
      <c r="O1720" s="292"/>
      <c r="P1720" s="291"/>
      <c r="Q1720" s="292"/>
      <c r="R1720" s="218"/>
      <c r="S1720" s="293"/>
      <c r="T1720" s="204"/>
      <c r="U1720" s="797"/>
      <c r="V1720" s="662"/>
    </row>
    <row r="1721" spans="1:22" s="164" customFormat="1" hidden="1">
      <c r="A1721" s="1106"/>
      <c r="B1721" s="223"/>
      <c r="C1721" s="224"/>
      <c r="D1721" s="225"/>
      <c r="E1721" s="226"/>
      <c r="F1721" s="227"/>
      <c r="G1721" s="225"/>
      <c r="H1721" s="226"/>
      <c r="I1721" s="227"/>
      <c r="J1721" s="228"/>
      <c r="K1721" s="229"/>
      <c r="L1721" s="230"/>
      <c r="M1721" s="231"/>
      <c r="N1721" s="232"/>
      <c r="O1721" s="233"/>
      <c r="P1721" s="230"/>
      <c r="Q1721" s="234"/>
      <c r="R1721" s="235"/>
      <c r="S1721" s="236"/>
      <c r="T1721" s="294"/>
      <c r="U1721" s="238"/>
      <c r="V1721" s="662"/>
    </row>
    <row r="1722" spans="1:22" s="164" customFormat="1" hidden="1">
      <c r="A1722" s="1106"/>
      <c r="B1722" s="246"/>
      <c r="C1722" s="240"/>
      <c r="D1722" s="2730" t="s">
        <v>257</v>
      </c>
      <c r="E1722" s="2731"/>
      <c r="F1722" s="2731"/>
      <c r="G1722" s="2731"/>
      <c r="H1722" s="2731"/>
      <c r="I1722" s="2732"/>
      <c r="J1722" s="2488">
        <f>VLOOKUP(A1724,'11 - FINANCEIRA'!_xlnm.Print_Area,28,FALSE)</f>
        <v>1</v>
      </c>
      <c r="K1722" s="2489"/>
      <c r="L1722" s="309" t="str">
        <f>VLOOKUP(A1724,'11 - FINANCEIRA'!_xlnm.Print_Area,4,FALSE)</f>
        <v>Pç</v>
      </c>
      <c r="M1722" s="2727" t="s">
        <v>258</v>
      </c>
      <c r="N1722" s="2728"/>
      <c r="O1722" s="2728"/>
      <c r="P1722" s="2728"/>
      <c r="Q1722" s="2729"/>
      <c r="R1722" s="248">
        <f>SUM(R1719:R1721)</f>
        <v>1</v>
      </c>
      <c r="S1722" s="310" t="str">
        <f>L1722</f>
        <v>Pç</v>
      </c>
      <c r="T1722" s="244"/>
      <c r="U1722" s="245"/>
      <c r="V1722" s="662"/>
    </row>
    <row r="1723" spans="1:22" s="164" customFormat="1" hidden="1">
      <c r="A1723" s="1106"/>
      <c r="B1723" s="246"/>
      <c r="C1723" s="247"/>
      <c r="D1723" s="2478" t="s">
        <v>259</v>
      </c>
      <c r="E1723" s="2479"/>
      <c r="F1723" s="2479"/>
      <c r="G1723" s="2479"/>
      <c r="H1723" s="2479"/>
      <c r="I1723" s="2480"/>
      <c r="J1723" s="2484">
        <f>R1722/J1722</f>
        <v>1</v>
      </c>
      <c r="K1723" s="2485"/>
      <c r="L1723" s="743"/>
      <c r="M1723" s="2727" t="s">
        <v>260</v>
      </c>
      <c r="N1723" s="2728"/>
      <c r="O1723" s="2728"/>
      <c r="P1723" s="2728"/>
      <c r="Q1723" s="2729"/>
      <c r="R1723" s="248">
        <f>VLOOKUP(A1724,'11 - FINANCEIRA'!_xlnm.Print_Area,8,FALSE)</f>
        <v>1</v>
      </c>
      <c r="S1723" s="249" t="str">
        <f>L1722</f>
        <v>Pç</v>
      </c>
      <c r="T1723" s="244"/>
      <c r="U1723" s="245"/>
      <c r="V1723" s="662"/>
    </row>
    <row r="1724" spans="1:22" s="164" customFormat="1" hidden="1">
      <c r="A1724" s="1106" t="s">
        <v>446</v>
      </c>
      <c r="B1724" s="250"/>
      <c r="C1724" s="598"/>
      <c r="D1724" s="2481"/>
      <c r="E1724" s="2482"/>
      <c r="F1724" s="2482"/>
      <c r="G1724" s="2482"/>
      <c r="H1724" s="2482"/>
      <c r="I1724" s="2483"/>
      <c r="J1724" s="2486"/>
      <c r="K1724" s="2487"/>
      <c r="L1724" s="751"/>
      <c r="M1724" s="2727" t="s">
        <v>261</v>
      </c>
      <c r="N1724" s="2728"/>
      <c r="O1724" s="2728"/>
      <c r="P1724" s="2728"/>
      <c r="Q1724" s="2729"/>
      <c r="R1724" s="248">
        <f>R1722-R1723</f>
        <v>0</v>
      </c>
      <c r="S1724" s="249" t="str">
        <f>L1722</f>
        <v>Pç</v>
      </c>
      <c r="T1724" s="562"/>
      <c r="U1724" s="563"/>
      <c r="V1724" s="662"/>
    </row>
    <row r="1725" spans="1:22" s="164" customFormat="1" hidden="1">
      <c r="A1725" s="1770"/>
      <c r="B1725" s="660"/>
      <c r="D1725" s="661"/>
      <c r="E1725" s="662"/>
      <c r="F1725" s="663"/>
      <c r="G1725" s="661"/>
      <c r="I1725" s="663"/>
      <c r="K1725" s="664"/>
      <c r="L1725" s="664"/>
      <c r="N1725" s="511"/>
      <c r="O1725" s="662"/>
      <c r="Q1725" s="665"/>
      <c r="R1725" s="666"/>
      <c r="S1725" s="667"/>
      <c r="U1725" s="662"/>
      <c r="V1725" s="662"/>
    </row>
    <row r="1726" spans="1:22" s="164" customFormat="1" ht="31.5">
      <c r="A1726" s="1106"/>
      <c r="B1726" s="717">
        <f>VLOOKUP(A1748,'11 - FINANCEIRA'!_xlnm.Print_Area,2,FALSE)</f>
        <v>7010100280</v>
      </c>
      <c r="C1726" s="785" t="str">
        <f>VLOOKUP(A1748,'11 - FINANCEIRA'!_xlnm.Print_Area,3,FALSE)</f>
        <v>Grupo Gerador de energia 60 Kva</v>
      </c>
      <c r="D1726" s="730" t="s">
        <v>242</v>
      </c>
      <c r="E1726" s="731"/>
      <c r="F1726" s="731"/>
      <c r="G1726" s="731"/>
      <c r="H1726" s="731"/>
      <c r="I1726" s="732"/>
      <c r="J1726" s="733" t="s">
        <v>373</v>
      </c>
      <c r="K1726" s="733" t="s">
        <v>244</v>
      </c>
      <c r="L1726" s="733" t="s">
        <v>245</v>
      </c>
      <c r="M1726" s="733" t="s">
        <v>246</v>
      </c>
      <c r="N1726" s="733" t="s">
        <v>247</v>
      </c>
      <c r="O1726" s="733" t="s">
        <v>248</v>
      </c>
      <c r="P1726" s="173" t="s">
        <v>249</v>
      </c>
      <c r="Q1726" s="716" t="s">
        <v>250</v>
      </c>
      <c r="R1726" s="734" t="s">
        <v>139</v>
      </c>
      <c r="S1726" s="733" t="s">
        <v>251</v>
      </c>
      <c r="T1726" s="733" t="s">
        <v>252</v>
      </c>
      <c r="U1726" s="735" t="s">
        <v>253</v>
      </c>
      <c r="V1726" s="662"/>
    </row>
    <row r="1727" spans="1:22" s="164" customFormat="1">
      <c r="A1727" s="1106"/>
      <c r="B1727" s="718"/>
      <c r="C1727" s="736"/>
      <c r="D1727" s="2475" t="s">
        <v>254</v>
      </c>
      <c r="E1727" s="2476"/>
      <c r="F1727" s="2477"/>
      <c r="G1727" s="2469" t="s">
        <v>255</v>
      </c>
      <c r="H1727" s="2470"/>
      <c r="I1727" s="2471"/>
      <c r="J1727" s="740"/>
      <c r="K1727" s="740"/>
      <c r="L1727" s="740"/>
      <c r="M1727" s="740"/>
      <c r="N1727" s="740"/>
      <c r="O1727" s="740"/>
      <c r="P1727" s="177" t="s">
        <v>256</v>
      </c>
      <c r="Q1727" s="740"/>
      <c r="R1727" s="741"/>
      <c r="S1727" s="740"/>
      <c r="T1727" s="740"/>
      <c r="U1727" s="742"/>
      <c r="V1727" s="662"/>
    </row>
    <row r="1728" spans="1:22" s="40" customFormat="1" ht="20.25">
      <c r="A1728" s="1110"/>
      <c r="B1728" s="336"/>
      <c r="C1728" s="831" t="s">
        <v>510</v>
      </c>
      <c r="D1728" s="485"/>
      <c r="E1728" s="470"/>
      <c r="F1728" s="486"/>
      <c r="G1728" s="485"/>
      <c r="H1728" s="473"/>
      <c r="I1728" s="486"/>
      <c r="J1728" s="275"/>
      <c r="K1728" s="275"/>
      <c r="L1728" s="275"/>
      <c r="M1728" s="275"/>
      <c r="N1728" s="275"/>
      <c r="O1728" s="275"/>
      <c r="P1728" s="338"/>
      <c r="Q1728" s="275"/>
      <c r="R1728" s="191">
        <v>0.4</v>
      </c>
      <c r="S1728" s="489" t="s">
        <v>511</v>
      </c>
      <c r="T1728" s="276">
        <v>12</v>
      </c>
      <c r="U1728" s="882"/>
    </row>
    <row r="1729" spans="1:21" s="40" customFormat="1" ht="20.25">
      <c r="A1729" s="1110"/>
      <c r="B1729" s="296"/>
      <c r="C1729" s="820" t="s">
        <v>512</v>
      </c>
      <c r="D1729" s="560"/>
      <c r="E1729" s="464"/>
      <c r="F1729" s="463"/>
      <c r="G1729" s="560"/>
      <c r="H1729" s="459"/>
      <c r="I1729" s="463"/>
      <c r="J1729" s="340"/>
      <c r="K1729" s="560"/>
      <c r="L1729" s="340"/>
      <c r="M1729" s="463"/>
      <c r="N1729" s="464"/>
      <c r="O1729" s="560"/>
      <c r="P1729" s="461"/>
      <c r="Q1729" s="463"/>
      <c r="R1729" s="462">
        <v>1</v>
      </c>
      <c r="S1729" s="340" t="s">
        <v>511</v>
      </c>
      <c r="T1729" s="347">
        <v>12</v>
      </c>
      <c r="U1729" s="883"/>
    </row>
    <row r="1730" spans="1:21" s="40" customFormat="1" ht="20.25">
      <c r="A1730" s="1110"/>
      <c r="B1730" s="296"/>
      <c r="C1730" s="820" t="s">
        <v>513</v>
      </c>
      <c r="D1730" s="560"/>
      <c r="E1730" s="464"/>
      <c r="F1730" s="463"/>
      <c r="G1730" s="560"/>
      <c r="H1730" s="459"/>
      <c r="I1730" s="463"/>
      <c r="J1730" s="340"/>
      <c r="K1730" s="560"/>
      <c r="L1730" s="340"/>
      <c r="M1730" s="463"/>
      <c r="N1730" s="464"/>
      <c r="O1730" s="560"/>
      <c r="P1730" s="461"/>
      <c r="Q1730" s="463"/>
      <c r="R1730" s="462">
        <v>1</v>
      </c>
      <c r="S1730" s="340" t="s">
        <v>511</v>
      </c>
      <c r="T1730" s="347">
        <v>12</v>
      </c>
      <c r="U1730" s="883"/>
    </row>
    <row r="1731" spans="1:21" s="40" customFormat="1" ht="20.25">
      <c r="A1731" s="1110"/>
      <c r="B1731" s="296"/>
      <c r="C1731" s="820" t="s">
        <v>513</v>
      </c>
      <c r="D1731" s="560"/>
      <c r="E1731" s="464"/>
      <c r="F1731" s="463"/>
      <c r="G1731" s="560"/>
      <c r="H1731" s="459"/>
      <c r="I1731" s="463"/>
      <c r="J1731" s="340"/>
      <c r="K1731" s="560"/>
      <c r="L1731" s="340"/>
      <c r="M1731" s="463"/>
      <c r="N1731" s="464"/>
      <c r="O1731" s="560"/>
      <c r="P1731" s="461"/>
      <c r="Q1731" s="463"/>
      <c r="R1731" s="462">
        <v>1</v>
      </c>
      <c r="S1731" s="340" t="s">
        <v>511</v>
      </c>
      <c r="T1731" s="347">
        <v>12</v>
      </c>
      <c r="U1731" s="883"/>
    </row>
    <row r="1732" spans="1:21" s="40" customFormat="1" ht="20.25">
      <c r="A1732" s="1110"/>
      <c r="B1732" s="296"/>
      <c r="C1732" s="820" t="s">
        <v>887</v>
      </c>
      <c r="D1732" s="560"/>
      <c r="E1732" s="464"/>
      <c r="F1732" s="463"/>
      <c r="G1732" s="560"/>
      <c r="H1732" s="459"/>
      <c r="I1732" s="463"/>
      <c r="J1732" s="340"/>
      <c r="K1732" s="560"/>
      <c r="L1732" s="340"/>
      <c r="M1732" s="463"/>
      <c r="N1732" s="464"/>
      <c r="O1732" s="560"/>
      <c r="P1732" s="461"/>
      <c r="Q1732" s="463"/>
      <c r="R1732" s="462">
        <v>1</v>
      </c>
      <c r="S1732" s="340" t="s">
        <v>511</v>
      </c>
      <c r="T1732" s="347">
        <v>22</v>
      </c>
      <c r="U1732" s="883"/>
    </row>
    <row r="1733" spans="1:21" s="40" customFormat="1" ht="20.25">
      <c r="A1733" s="1110"/>
      <c r="B1733" s="296"/>
      <c r="C1733" s="820" t="s">
        <v>886</v>
      </c>
      <c r="D1733" s="560"/>
      <c r="E1733" s="464"/>
      <c r="F1733" s="463"/>
      <c r="G1733" s="560"/>
      <c r="H1733" s="459"/>
      <c r="I1733" s="463"/>
      <c r="J1733" s="340"/>
      <c r="K1733" s="560"/>
      <c r="L1733" s="340"/>
      <c r="M1733" s="463"/>
      <c r="N1733" s="464"/>
      <c r="O1733" s="560"/>
      <c r="P1733" s="461"/>
      <c r="Q1733" s="463"/>
      <c r="R1733" s="462">
        <v>1</v>
      </c>
      <c r="S1733" s="340" t="s">
        <v>511</v>
      </c>
      <c r="T1733" s="347">
        <v>22</v>
      </c>
      <c r="U1733" s="883"/>
    </row>
    <row r="1734" spans="1:21" s="40" customFormat="1" ht="20.25">
      <c r="A1734" s="1110"/>
      <c r="B1734" s="296"/>
      <c r="C1734" s="820" t="s">
        <v>885</v>
      </c>
      <c r="D1734" s="560"/>
      <c r="E1734" s="464"/>
      <c r="F1734" s="463"/>
      <c r="G1734" s="560"/>
      <c r="H1734" s="459"/>
      <c r="I1734" s="463"/>
      <c r="J1734" s="340"/>
      <c r="K1734" s="560"/>
      <c r="L1734" s="340"/>
      <c r="M1734" s="463"/>
      <c r="N1734" s="464"/>
      <c r="O1734" s="560"/>
      <c r="P1734" s="461"/>
      <c r="Q1734" s="463"/>
      <c r="R1734" s="462"/>
      <c r="S1734" s="340" t="s">
        <v>511</v>
      </c>
      <c r="T1734" s="347">
        <v>22</v>
      </c>
      <c r="U1734" s="883"/>
    </row>
    <row r="1735" spans="1:21" s="40" customFormat="1" ht="20.25">
      <c r="A1735" s="1110"/>
      <c r="B1735" s="296"/>
      <c r="C1735" s="820" t="s">
        <v>884</v>
      </c>
      <c r="D1735" s="560"/>
      <c r="E1735" s="464"/>
      <c r="F1735" s="463"/>
      <c r="G1735" s="560"/>
      <c r="H1735" s="459"/>
      <c r="I1735" s="463"/>
      <c r="J1735" s="340"/>
      <c r="K1735" s="560"/>
      <c r="L1735" s="340"/>
      <c r="M1735" s="463"/>
      <c r="N1735" s="464"/>
      <c r="O1735" s="560"/>
      <c r="P1735" s="461"/>
      <c r="Q1735" s="340"/>
      <c r="R1735" s="462">
        <v>1</v>
      </c>
      <c r="S1735" s="340" t="s">
        <v>511</v>
      </c>
      <c r="T1735" s="347">
        <v>22</v>
      </c>
      <c r="U1735" s="883"/>
    </row>
    <row r="1736" spans="1:21" s="40" customFormat="1" ht="20.25">
      <c r="A1736" s="1110"/>
      <c r="B1736" s="296"/>
      <c r="C1736" s="820" t="s">
        <v>921</v>
      </c>
      <c r="D1736" s="560"/>
      <c r="E1736" s="464"/>
      <c r="F1736" s="463"/>
      <c r="G1736" s="560"/>
      <c r="H1736" s="459"/>
      <c r="I1736" s="463"/>
      <c r="J1736" s="340"/>
      <c r="K1736" s="560"/>
      <c r="L1736" s="340"/>
      <c r="M1736" s="463"/>
      <c r="N1736" s="464"/>
      <c r="O1736" s="560"/>
      <c r="P1736" s="461"/>
      <c r="Q1736" s="340"/>
      <c r="R1736" s="462">
        <v>1</v>
      </c>
      <c r="S1736" s="340" t="s">
        <v>511</v>
      </c>
      <c r="T1736" s="347">
        <v>23</v>
      </c>
      <c r="U1736" s="883"/>
    </row>
    <row r="1737" spans="1:21" s="40" customFormat="1" ht="20.25">
      <c r="A1737" s="1110"/>
      <c r="B1737" s="296"/>
      <c r="C1737" s="820" t="s">
        <v>964</v>
      </c>
      <c r="D1737" s="560"/>
      <c r="E1737" s="464"/>
      <c r="F1737" s="463"/>
      <c r="G1737" s="560"/>
      <c r="H1737" s="459"/>
      <c r="I1737" s="463"/>
      <c r="J1737" s="340"/>
      <c r="K1737" s="560"/>
      <c r="L1737" s="340"/>
      <c r="M1737" s="463"/>
      <c r="N1737" s="464"/>
      <c r="O1737" s="560"/>
      <c r="P1737" s="461"/>
      <c r="Q1737" s="340"/>
      <c r="R1737" s="462">
        <v>1</v>
      </c>
      <c r="S1737" s="340" t="s">
        <v>511</v>
      </c>
      <c r="T1737" s="347">
        <v>24</v>
      </c>
      <c r="U1737" s="883"/>
    </row>
    <row r="1738" spans="1:21" s="40" customFormat="1">
      <c r="A1738" s="1110"/>
      <c r="B1738" s="296"/>
      <c r="C1738" s="820" t="s">
        <v>1025</v>
      </c>
      <c r="D1738" s="560"/>
      <c r="E1738" s="464"/>
      <c r="F1738" s="463"/>
      <c r="G1738" s="560"/>
      <c r="H1738" s="459"/>
      <c r="I1738" s="463"/>
      <c r="J1738" s="340"/>
      <c r="K1738" s="560"/>
      <c r="L1738" s="340"/>
      <c r="M1738" s="463"/>
      <c r="N1738" s="464"/>
      <c r="O1738" s="560"/>
      <c r="P1738" s="461"/>
      <c r="Q1738" s="340"/>
      <c r="R1738" s="462">
        <v>0.5</v>
      </c>
      <c r="S1738" s="434" t="s">
        <v>156</v>
      </c>
      <c r="T1738" s="347">
        <v>25</v>
      </c>
      <c r="U1738" s="849" t="s">
        <v>1024</v>
      </c>
    </row>
    <row r="1739" spans="1:21" s="40" customFormat="1" ht="20.25">
      <c r="A1739" s="1110"/>
      <c r="B1739" s="296"/>
      <c r="C1739" s="820" t="s">
        <v>1026</v>
      </c>
      <c r="D1739" s="560"/>
      <c r="E1739" s="464"/>
      <c r="F1739" s="463"/>
      <c r="G1739" s="560"/>
      <c r="H1739" s="459"/>
      <c r="I1739" s="463"/>
      <c r="J1739" s="340"/>
      <c r="K1739" s="560"/>
      <c r="L1739" s="340"/>
      <c r="M1739" s="463"/>
      <c r="N1739" s="464"/>
      <c r="O1739" s="560"/>
      <c r="P1739" s="461"/>
      <c r="Q1739" s="340"/>
      <c r="R1739" s="462">
        <v>1</v>
      </c>
      <c r="S1739" s="434" t="s">
        <v>156</v>
      </c>
      <c r="T1739" s="347">
        <v>25</v>
      </c>
      <c r="U1739" s="1411"/>
    </row>
    <row r="1740" spans="1:21" s="40" customFormat="1" ht="20.25">
      <c r="A1740" s="1110"/>
      <c r="B1740" s="296"/>
      <c r="C1740" s="820" t="s">
        <v>1075</v>
      </c>
      <c r="D1740" s="560"/>
      <c r="E1740" s="464"/>
      <c r="F1740" s="463"/>
      <c r="G1740" s="560"/>
      <c r="H1740" s="459"/>
      <c r="I1740" s="463"/>
      <c r="J1740" s="340"/>
      <c r="K1740" s="560"/>
      <c r="L1740" s="340"/>
      <c r="M1740" s="463"/>
      <c r="N1740" s="464"/>
      <c r="O1740" s="560"/>
      <c r="P1740" s="461"/>
      <c r="Q1740" s="340"/>
      <c r="R1740" s="462">
        <v>1</v>
      </c>
      <c r="S1740" s="434" t="s">
        <v>156</v>
      </c>
      <c r="T1740" s="347">
        <v>26</v>
      </c>
      <c r="U1740" s="1411"/>
    </row>
    <row r="1741" spans="1:21" s="40" customFormat="1" ht="20.25">
      <c r="A1741" s="1110"/>
      <c r="B1741" s="296"/>
      <c r="C1741" s="820" t="s">
        <v>1112</v>
      </c>
      <c r="D1741" s="560"/>
      <c r="E1741" s="464"/>
      <c r="F1741" s="463"/>
      <c r="G1741" s="560"/>
      <c r="H1741" s="459"/>
      <c r="I1741" s="463"/>
      <c r="J1741" s="340"/>
      <c r="K1741" s="560"/>
      <c r="L1741" s="340"/>
      <c r="M1741" s="463"/>
      <c r="N1741" s="464"/>
      <c r="O1741" s="560"/>
      <c r="P1741" s="461"/>
      <c r="Q1741" s="340"/>
      <c r="R1741" s="462">
        <v>1</v>
      </c>
      <c r="S1741" s="434" t="s">
        <v>156</v>
      </c>
      <c r="T1741" s="347">
        <v>27</v>
      </c>
      <c r="U1741" s="1411"/>
    </row>
    <row r="1742" spans="1:21" s="40" customFormat="1" ht="20.25">
      <c r="A1742" s="1110"/>
      <c r="B1742" s="296"/>
      <c r="C1742" s="820" t="s">
        <v>1133</v>
      </c>
      <c r="D1742" s="560"/>
      <c r="E1742" s="464"/>
      <c r="F1742" s="463"/>
      <c r="G1742" s="560"/>
      <c r="H1742" s="459"/>
      <c r="I1742" s="463"/>
      <c r="J1742" s="340"/>
      <c r="K1742" s="560"/>
      <c r="L1742" s="340"/>
      <c r="M1742" s="463"/>
      <c r="N1742" s="464"/>
      <c r="O1742" s="560"/>
      <c r="P1742" s="461"/>
      <c r="Q1742" s="340"/>
      <c r="R1742" s="462">
        <v>1</v>
      </c>
      <c r="S1742" s="434" t="s">
        <v>156</v>
      </c>
      <c r="T1742" s="347">
        <v>27</v>
      </c>
      <c r="U1742" s="1411"/>
    </row>
    <row r="1743" spans="1:21" s="40" customFormat="1" ht="20.25">
      <c r="A1743" s="1110"/>
      <c r="B1743" s="296"/>
      <c r="C1743" s="820" t="s">
        <v>1134</v>
      </c>
      <c r="D1743" s="560"/>
      <c r="E1743" s="464"/>
      <c r="F1743" s="463"/>
      <c r="G1743" s="560"/>
      <c r="H1743" s="459"/>
      <c r="I1743" s="463"/>
      <c r="J1743" s="340"/>
      <c r="K1743" s="560"/>
      <c r="L1743" s="340"/>
      <c r="M1743" s="463"/>
      <c r="N1743" s="464"/>
      <c r="O1743" s="560"/>
      <c r="P1743" s="461"/>
      <c r="Q1743" s="340"/>
      <c r="R1743" s="462">
        <v>1</v>
      </c>
      <c r="S1743" s="434" t="s">
        <v>156</v>
      </c>
      <c r="T1743" s="347">
        <v>27</v>
      </c>
      <c r="U1743" s="1411"/>
    </row>
    <row r="1744" spans="1:21" s="39" customFormat="1" ht="20.25">
      <c r="A1744" s="1771"/>
      <c r="B1744" s="767"/>
      <c r="C1744" s="766" t="s">
        <v>1177</v>
      </c>
      <c r="D1744" s="561"/>
      <c r="E1744" s="864"/>
      <c r="F1744" s="865"/>
      <c r="G1744" s="561"/>
      <c r="H1744" s="807"/>
      <c r="I1744" s="865"/>
      <c r="J1744" s="438"/>
      <c r="K1744" s="561"/>
      <c r="L1744" s="438"/>
      <c r="M1744" s="865"/>
      <c r="N1744" s="864"/>
      <c r="O1744" s="561"/>
      <c r="P1744" s="453"/>
      <c r="Q1744" s="438"/>
      <c r="R1744" s="454">
        <v>1</v>
      </c>
      <c r="S1744" s="439" t="s">
        <v>156</v>
      </c>
      <c r="T1744" s="441">
        <v>28</v>
      </c>
      <c r="U1744" s="1412"/>
    </row>
    <row r="1745" spans="1:22" s="39" customFormat="1" ht="20.25">
      <c r="A1745" s="1771"/>
      <c r="B1745" s="1515"/>
      <c r="C1745" s="1457" t="s">
        <v>1178</v>
      </c>
      <c r="D1745" s="872"/>
      <c r="E1745" s="898"/>
      <c r="F1745" s="899"/>
      <c r="G1745" s="872"/>
      <c r="H1745" s="1410"/>
      <c r="I1745" s="899"/>
      <c r="J1745" s="760"/>
      <c r="K1745" s="872"/>
      <c r="L1745" s="760"/>
      <c r="M1745" s="899"/>
      <c r="N1745" s="898"/>
      <c r="O1745" s="872"/>
      <c r="P1745" s="873"/>
      <c r="Q1745" s="760"/>
      <c r="R1745" s="962">
        <v>0.5</v>
      </c>
      <c r="S1745" s="871" t="s">
        <v>156</v>
      </c>
      <c r="T1745" s="874">
        <v>28</v>
      </c>
      <c r="U1745" s="1695"/>
    </row>
    <row r="1746" spans="1:22" s="164" customFormat="1">
      <c r="A1746" s="1106"/>
      <c r="B1746" s="239"/>
      <c r="C1746" s="1603"/>
      <c r="D1746" s="2730" t="s">
        <v>257</v>
      </c>
      <c r="E1746" s="2731"/>
      <c r="F1746" s="2731"/>
      <c r="G1746" s="2731"/>
      <c r="H1746" s="2731"/>
      <c r="I1746" s="2732"/>
      <c r="J1746" s="2490">
        <f>VLOOKUP(A1748,'11 - FINANCEIRA'!$A$16:$AE$156,30,FALSE)</f>
        <v>15.4</v>
      </c>
      <c r="K1746" s="2491"/>
      <c r="L1746" s="309" t="str">
        <f>VLOOKUP(A1748,'11 - FINANCEIRA'!_xlnm.Print_Area,4,FALSE)</f>
        <v xml:space="preserve">Mês </v>
      </c>
      <c r="M1746" s="2727" t="s">
        <v>258</v>
      </c>
      <c r="N1746" s="2728"/>
      <c r="O1746" s="2728"/>
      <c r="P1746" s="2728"/>
      <c r="Q1746" s="2729"/>
      <c r="R1746" s="248">
        <f>SUM(R1728:R1745)</f>
        <v>15.4</v>
      </c>
      <c r="S1746" s="310" t="str">
        <f>L1746</f>
        <v xml:space="preserve">Mês </v>
      </c>
      <c r="T1746" s="321"/>
      <c r="U1746" s="322"/>
      <c r="V1746" s="662"/>
    </row>
    <row r="1747" spans="1:22" s="164" customFormat="1">
      <c r="A1747" s="1106"/>
      <c r="B1747" s="1123"/>
      <c r="C1747" s="2182"/>
      <c r="D1747" s="2478" t="s">
        <v>259</v>
      </c>
      <c r="E1747" s="2479"/>
      <c r="F1747" s="2479"/>
      <c r="G1747" s="2479"/>
      <c r="H1747" s="2479"/>
      <c r="I1747" s="2480"/>
      <c r="J1747" s="2484">
        <f>R1746/J1746</f>
        <v>1</v>
      </c>
      <c r="K1747" s="2485"/>
      <c r="L1747" s="743"/>
      <c r="M1747" s="2727" t="s">
        <v>260</v>
      </c>
      <c r="N1747" s="2728"/>
      <c r="O1747" s="2728"/>
      <c r="P1747" s="2728"/>
      <c r="Q1747" s="2729"/>
      <c r="R1747" s="248">
        <f>VLOOKUP(A1748,'11 - FINANCEIRA'!_xlnm.Print_Area,8,FALSE)</f>
        <v>13.9</v>
      </c>
      <c r="S1747" s="249" t="str">
        <f>L1746</f>
        <v xml:space="preserve">Mês </v>
      </c>
      <c r="T1747" s="244"/>
      <c r="U1747" s="1124"/>
      <c r="V1747" s="662"/>
    </row>
    <row r="1748" spans="1:22" s="164" customFormat="1">
      <c r="A1748" s="1106" t="s">
        <v>447</v>
      </c>
      <c r="B1748" s="250"/>
      <c r="C1748" s="598"/>
      <c r="D1748" s="2481"/>
      <c r="E1748" s="2482"/>
      <c r="F1748" s="2482"/>
      <c r="G1748" s="2482"/>
      <c r="H1748" s="2482"/>
      <c r="I1748" s="2483"/>
      <c r="J1748" s="2486"/>
      <c r="K1748" s="2487"/>
      <c r="L1748" s="751"/>
      <c r="M1748" s="2727" t="s">
        <v>261</v>
      </c>
      <c r="N1748" s="2728"/>
      <c r="O1748" s="2728"/>
      <c r="P1748" s="2728"/>
      <c r="Q1748" s="2729"/>
      <c r="R1748" s="248">
        <f>R1746-R1747</f>
        <v>1.5</v>
      </c>
      <c r="S1748" s="249" t="str">
        <f>L1746</f>
        <v xml:space="preserve">Mês </v>
      </c>
      <c r="T1748" s="562"/>
      <c r="U1748" s="563"/>
      <c r="V1748" s="662"/>
    </row>
    <row r="1749" spans="1:22" s="164" customFormat="1" hidden="1">
      <c r="A1749" s="1770"/>
      <c r="B1749" s="660"/>
      <c r="D1749" s="661"/>
      <c r="E1749" s="662"/>
      <c r="F1749" s="663"/>
      <c r="G1749" s="661"/>
      <c r="I1749" s="663"/>
      <c r="K1749" s="664"/>
      <c r="L1749" s="664"/>
      <c r="N1749" s="511"/>
      <c r="O1749" s="662"/>
      <c r="Q1749" s="665"/>
      <c r="R1749" s="666"/>
      <c r="S1749" s="667"/>
      <c r="U1749" s="662"/>
      <c r="V1749" s="662"/>
    </row>
    <row r="1750" spans="1:22" s="164" customFormat="1" ht="47.25" hidden="1">
      <c r="A1750" s="1106"/>
      <c r="B1750" s="717" t="str">
        <f>VLOOKUP(A1770,'11 - FINANCEIRA'!_xlnm.Print_Area,2,FALSE)</f>
        <v>CPU03</v>
      </c>
      <c r="C1750" s="785" t="str">
        <f>VLOOKUP(A1770,'11 - FINANCEIRA'!_xlnm.Print_Area,3,FALSE)</f>
        <v xml:space="preserve">SERVIÇOS DE APOIO À MOVIMENTAÇÃO DE MATERIAIS EM VIAS URBANAS ESTREITAS SEM POSSIBILIDADE DE MANOBRA </v>
      </c>
      <c r="D1750" s="2472" t="s">
        <v>242</v>
      </c>
      <c r="E1750" s="2473"/>
      <c r="F1750" s="2473"/>
      <c r="G1750" s="2473"/>
      <c r="H1750" s="2473"/>
      <c r="I1750" s="2474"/>
      <c r="J1750" s="733" t="s">
        <v>373</v>
      </c>
      <c r="K1750" s="733" t="s">
        <v>244</v>
      </c>
      <c r="L1750" s="733" t="s">
        <v>264</v>
      </c>
      <c r="M1750" s="733" t="s">
        <v>359</v>
      </c>
      <c r="N1750" s="733"/>
      <c r="O1750" s="733"/>
      <c r="P1750" s="173" t="s">
        <v>543</v>
      </c>
      <c r="Q1750" s="716"/>
      <c r="R1750" s="734" t="s">
        <v>139</v>
      </c>
      <c r="S1750" s="733" t="s">
        <v>251</v>
      </c>
      <c r="T1750" s="733" t="s">
        <v>252</v>
      </c>
      <c r="U1750" s="735" t="s">
        <v>253</v>
      </c>
      <c r="V1750" s="662"/>
    </row>
    <row r="1751" spans="1:22" s="164" customFormat="1" hidden="1">
      <c r="A1751" s="1106"/>
      <c r="B1751" s="718"/>
      <c r="C1751" s="798"/>
      <c r="D1751" s="2475" t="s">
        <v>254</v>
      </c>
      <c r="E1751" s="2476"/>
      <c r="F1751" s="2477"/>
      <c r="G1751" s="2469" t="s">
        <v>255</v>
      </c>
      <c r="H1751" s="2470"/>
      <c r="I1751" s="2471"/>
      <c r="J1751" s="740"/>
      <c r="K1751" s="740"/>
      <c r="L1751" s="740"/>
      <c r="M1751" s="740"/>
      <c r="N1751" s="740"/>
      <c r="O1751" s="740"/>
      <c r="P1751" s="177"/>
      <c r="Q1751" s="740"/>
      <c r="R1751" s="741"/>
      <c r="S1751" s="740"/>
      <c r="T1751" s="740"/>
      <c r="U1751" s="742"/>
      <c r="V1751" s="662"/>
    </row>
    <row r="1752" spans="1:22" hidden="1">
      <c r="A1752" s="1110"/>
      <c r="B1752" s="609"/>
      <c r="C1752" s="846" t="s">
        <v>584</v>
      </c>
      <c r="D1752" s="878">
        <v>11</v>
      </c>
      <c r="E1752" s="444" t="s">
        <v>299</v>
      </c>
      <c r="F1752" s="879">
        <v>10</v>
      </c>
      <c r="G1752" s="880">
        <v>14</v>
      </c>
      <c r="H1752" s="447" t="s">
        <v>299</v>
      </c>
      <c r="I1752" s="881">
        <v>14</v>
      </c>
      <c r="J1752" s="411"/>
      <c r="K1752" s="411">
        <f t="shared" ref="K1752:K1757" si="227">(G1752-D1752)*20+I1752-F1752</f>
        <v>64</v>
      </c>
      <c r="L1752" s="411"/>
      <c r="M1752" s="411"/>
      <c r="N1752" s="411"/>
      <c r="O1752" s="411"/>
      <c r="P1752" s="449"/>
      <c r="Q1752" s="411"/>
      <c r="R1752" s="450">
        <v>220</v>
      </c>
      <c r="S1752" s="411" t="s">
        <v>583</v>
      </c>
      <c r="T1752" s="451">
        <v>13</v>
      </c>
      <c r="U1752" s="335"/>
      <c r="V1752" s="842"/>
    </row>
    <row r="1753" spans="1:22" hidden="1">
      <c r="A1753" s="1110"/>
      <c r="B1753" s="296"/>
      <c r="C1753" s="820" t="s">
        <v>584</v>
      </c>
      <c r="D1753" s="560">
        <v>14</v>
      </c>
      <c r="E1753" s="464" t="s">
        <v>299</v>
      </c>
      <c r="F1753" s="463">
        <v>14</v>
      </c>
      <c r="G1753" s="458">
        <v>19</v>
      </c>
      <c r="H1753" s="459" t="s">
        <v>299</v>
      </c>
      <c r="I1753" s="460">
        <v>2</v>
      </c>
      <c r="J1753" s="340"/>
      <c r="K1753" s="340">
        <f t="shared" si="227"/>
        <v>88</v>
      </c>
      <c r="L1753" s="340"/>
      <c r="M1753" s="340"/>
      <c r="N1753" s="340"/>
      <c r="O1753" s="340"/>
      <c r="P1753" s="461"/>
      <c r="Q1753" s="340"/>
      <c r="R1753" s="462">
        <v>220</v>
      </c>
      <c r="S1753" s="340" t="s">
        <v>583</v>
      </c>
      <c r="T1753" s="347">
        <v>14</v>
      </c>
      <c r="U1753" s="341"/>
      <c r="V1753" s="842"/>
    </row>
    <row r="1754" spans="1:22" hidden="1">
      <c r="A1754" s="1110"/>
      <c r="B1754" s="296"/>
      <c r="C1754" s="820" t="s">
        <v>584</v>
      </c>
      <c r="D1754" s="560">
        <v>19</v>
      </c>
      <c r="E1754" s="464" t="s">
        <v>299</v>
      </c>
      <c r="F1754" s="463">
        <v>2</v>
      </c>
      <c r="G1754" s="458">
        <v>21</v>
      </c>
      <c r="H1754" s="459" t="s">
        <v>299</v>
      </c>
      <c r="I1754" s="460">
        <v>9</v>
      </c>
      <c r="J1754" s="340"/>
      <c r="K1754" s="340">
        <f t="shared" si="227"/>
        <v>47</v>
      </c>
      <c r="L1754" s="340"/>
      <c r="M1754" s="340"/>
      <c r="N1754" s="340"/>
      <c r="O1754" s="340"/>
      <c r="P1754" s="461"/>
      <c r="Q1754" s="340"/>
      <c r="R1754" s="462">
        <v>220</v>
      </c>
      <c r="S1754" s="340" t="s">
        <v>583</v>
      </c>
      <c r="T1754" s="347">
        <v>15</v>
      </c>
      <c r="U1754" s="341"/>
      <c r="V1754" s="842"/>
    </row>
    <row r="1755" spans="1:22" hidden="1">
      <c r="A1755" s="1110"/>
      <c r="B1755" s="296"/>
      <c r="C1755" s="820" t="s">
        <v>584</v>
      </c>
      <c r="D1755" s="560">
        <f>G1754</f>
        <v>21</v>
      </c>
      <c r="E1755" s="464" t="s">
        <v>299</v>
      </c>
      <c r="F1755" s="463">
        <f>I1754</f>
        <v>9</v>
      </c>
      <c r="G1755" s="458">
        <v>22</v>
      </c>
      <c r="H1755" s="459" t="s">
        <v>299</v>
      </c>
      <c r="I1755" s="460">
        <v>10</v>
      </c>
      <c r="J1755" s="340"/>
      <c r="K1755" s="340">
        <f t="shared" si="227"/>
        <v>21</v>
      </c>
      <c r="L1755" s="340"/>
      <c r="M1755" s="340"/>
      <c r="N1755" s="340"/>
      <c r="O1755" s="340"/>
      <c r="P1755" s="461"/>
      <c r="Q1755" s="340"/>
      <c r="R1755" s="462">
        <v>220</v>
      </c>
      <c r="S1755" s="340" t="s">
        <v>583</v>
      </c>
      <c r="T1755" s="347">
        <v>16</v>
      </c>
      <c r="U1755" s="341"/>
      <c r="V1755" s="842"/>
    </row>
    <row r="1756" spans="1:22" hidden="1">
      <c r="A1756" s="1110"/>
      <c r="B1756" s="296"/>
      <c r="C1756" s="820" t="s">
        <v>584</v>
      </c>
      <c r="D1756" s="560">
        <f>G1755</f>
        <v>22</v>
      </c>
      <c r="E1756" s="464" t="s">
        <v>299</v>
      </c>
      <c r="F1756" s="463">
        <f>I1755</f>
        <v>10</v>
      </c>
      <c r="G1756" s="458">
        <v>25</v>
      </c>
      <c r="H1756" s="459" t="s">
        <v>299</v>
      </c>
      <c r="I1756" s="460">
        <v>16</v>
      </c>
      <c r="J1756" s="340"/>
      <c r="K1756" s="340">
        <f t="shared" si="227"/>
        <v>66</v>
      </c>
      <c r="L1756" s="340"/>
      <c r="M1756" s="340"/>
      <c r="N1756" s="340"/>
      <c r="O1756" s="340"/>
      <c r="P1756" s="461"/>
      <c r="Q1756" s="340"/>
      <c r="R1756" s="462">
        <v>220</v>
      </c>
      <c r="S1756" s="340" t="s">
        <v>583</v>
      </c>
      <c r="T1756" s="347">
        <v>17</v>
      </c>
      <c r="U1756" s="341"/>
      <c r="V1756" s="842"/>
    </row>
    <row r="1757" spans="1:22" hidden="1">
      <c r="A1757" s="1110"/>
      <c r="B1757" s="296"/>
      <c r="C1757" s="820" t="s">
        <v>719</v>
      </c>
      <c r="D1757" s="560">
        <v>7</v>
      </c>
      <c r="E1757" s="464" t="s">
        <v>299</v>
      </c>
      <c r="F1757" s="463">
        <v>4</v>
      </c>
      <c r="G1757" s="458">
        <v>8</v>
      </c>
      <c r="H1757" s="459" t="s">
        <v>299</v>
      </c>
      <c r="I1757" s="460">
        <v>12</v>
      </c>
      <c r="J1757" s="340"/>
      <c r="K1757" s="340">
        <f t="shared" si="227"/>
        <v>28</v>
      </c>
      <c r="L1757" s="340"/>
      <c r="M1757" s="340"/>
      <c r="N1757" s="340"/>
      <c r="O1757" s="340"/>
      <c r="P1757" s="461"/>
      <c r="Q1757" s="340"/>
      <c r="R1757" s="462">
        <v>220</v>
      </c>
      <c r="S1757" s="340" t="s">
        <v>583</v>
      </c>
      <c r="T1757" s="347">
        <v>18</v>
      </c>
      <c r="U1757" s="341"/>
      <c r="V1757" s="842"/>
    </row>
    <row r="1758" spans="1:22" hidden="1">
      <c r="A1758" s="1110"/>
      <c r="B1758" s="296"/>
      <c r="C1758" s="820" t="s">
        <v>719</v>
      </c>
      <c r="D1758" s="560">
        <v>9</v>
      </c>
      <c r="E1758" s="464" t="s">
        <v>299</v>
      </c>
      <c r="F1758" s="463">
        <v>16</v>
      </c>
      <c r="G1758" s="458">
        <v>11</v>
      </c>
      <c r="H1758" s="459" t="s">
        <v>299</v>
      </c>
      <c r="I1758" s="460">
        <v>7</v>
      </c>
      <c r="J1758" s="340"/>
      <c r="K1758" s="340">
        <f t="shared" ref="K1758:K1763" si="228">(G1758-D1758)*20+I1758-F1758</f>
        <v>31</v>
      </c>
      <c r="L1758" s="340"/>
      <c r="M1758" s="340"/>
      <c r="N1758" s="340"/>
      <c r="O1758" s="340"/>
      <c r="P1758" s="461"/>
      <c r="Q1758" s="340"/>
      <c r="R1758" s="462">
        <v>220</v>
      </c>
      <c r="S1758" s="340" t="s">
        <v>583</v>
      </c>
      <c r="T1758" s="347">
        <v>19</v>
      </c>
      <c r="U1758" s="341"/>
      <c r="V1758" s="842"/>
    </row>
    <row r="1759" spans="1:22" s="164" customFormat="1" hidden="1">
      <c r="A1759" s="1106"/>
      <c r="B1759" s="296"/>
      <c r="C1759" s="820" t="s">
        <v>719</v>
      </c>
      <c r="D1759" s="560">
        <v>9</v>
      </c>
      <c r="E1759" s="464" t="s">
        <v>299</v>
      </c>
      <c r="F1759" s="463">
        <v>16</v>
      </c>
      <c r="G1759" s="458">
        <v>11</v>
      </c>
      <c r="H1759" s="459" t="s">
        <v>299</v>
      </c>
      <c r="I1759" s="460">
        <v>7</v>
      </c>
      <c r="J1759" s="340"/>
      <c r="K1759" s="340">
        <f t="shared" si="228"/>
        <v>31</v>
      </c>
      <c r="L1759" s="340"/>
      <c r="M1759" s="340"/>
      <c r="N1759" s="340"/>
      <c r="O1759" s="340"/>
      <c r="P1759" s="461"/>
      <c r="Q1759" s="340"/>
      <c r="R1759" s="462">
        <v>44</v>
      </c>
      <c r="S1759" s="340" t="s">
        <v>583</v>
      </c>
      <c r="T1759" s="347">
        <v>20</v>
      </c>
      <c r="U1759" s="341"/>
      <c r="V1759" s="662"/>
    </row>
    <row r="1760" spans="1:22" hidden="1">
      <c r="A1760" s="1110"/>
      <c r="B1760" s="296"/>
      <c r="C1760" s="820" t="s">
        <v>719</v>
      </c>
      <c r="D1760" s="560">
        <v>9</v>
      </c>
      <c r="E1760" s="464" t="s">
        <v>299</v>
      </c>
      <c r="F1760" s="463">
        <v>16</v>
      </c>
      <c r="G1760" s="458">
        <v>12</v>
      </c>
      <c r="H1760" s="459" t="s">
        <v>299</v>
      </c>
      <c r="I1760" s="460">
        <v>19</v>
      </c>
      <c r="J1760" s="340"/>
      <c r="K1760" s="340">
        <f t="shared" si="228"/>
        <v>63</v>
      </c>
      <c r="L1760" s="340"/>
      <c r="M1760" s="340"/>
      <c r="N1760" s="340"/>
      <c r="O1760" s="340"/>
      <c r="P1760" s="461"/>
      <c r="Q1760" s="340"/>
      <c r="R1760" s="462">
        <v>215</v>
      </c>
      <c r="S1760" s="340" t="s">
        <v>583</v>
      </c>
      <c r="T1760" s="347">
        <v>21</v>
      </c>
      <c r="U1760" s="341"/>
      <c r="V1760" s="842"/>
    </row>
    <row r="1761" spans="1:22" hidden="1">
      <c r="A1761" s="1110"/>
      <c r="B1761" s="296"/>
      <c r="C1761" s="820" t="s">
        <v>719</v>
      </c>
      <c r="D1761" s="560">
        <v>9</v>
      </c>
      <c r="E1761" s="464" t="s">
        <v>299</v>
      </c>
      <c r="F1761" s="463">
        <v>16</v>
      </c>
      <c r="G1761" s="458">
        <v>12</v>
      </c>
      <c r="H1761" s="459" t="s">
        <v>299</v>
      </c>
      <c r="I1761" s="460">
        <v>19</v>
      </c>
      <c r="J1761" s="340"/>
      <c r="K1761" s="340">
        <f t="shared" si="228"/>
        <v>63</v>
      </c>
      <c r="L1761" s="340"/>
      <c r="M1761" s="340"/>
      <c r="N1761" s="340"/>
      <c r="O1761" s="340"/>
      <c r="P1761" s="461"/>
      <c r="Q1761" s="340"/>
      <c r="R1761" s="462">
        <v>110</v>
      </c>
      <c r="S1761" s="340" t="s">
        <v>583</v>
      </c>
      <c r="T1761" s="347">
        <v>22</v>
      </c>
      <c r="U1761" s="408" t="s">
        <v>908</v>
      </c>
      <c r="V1761" s="842"/>
    </row>
    <row r="1762" spans="1:22" s="1193" customFormat="1" hidden="1">
      <c r="A1762" s="1110"/>
      <c r="B1762" s="1008"/>
      <c r="C1762" s="820" t="s">
        <v>719</v>
      </c>
      <c r="D1762" s="538">
        <v>25</v>
      </c>
      <c r="E1762" s="535" t="s">
        <v>299</v>
      </c>
      <c r="F1762" s="534">
        <v>16</v>
      </c>
      <c r="G1762" s="1011">
        <v>31</v>
      </c>
      <c r="H1762" s="456" t="s">
        <v>299</v>
      </c>
      <c r="I1762" s="1191">
        <v>12</v>
      </c>
      <c r="J1762" s="509"/>
      <c r="K1762" s="509">
        <f t="shared" si="228"/>
        <v>116</v>
      </c>
      <c r="L1762" s="509"/>
      <c r="M1762" s="509"/>
      <c r="N1762" s="509"/>
      <c r="O1762" s="509"/>
      <c r="P1762" s="536"/>
      <c r="Q1762" s="509"/>
      <c r="R1762" s="537">
        <v>220</v>
      </c>
      <c r="S1762" s="509" t="s">
        <v>583</v>
      </c>
      <c r="T1762" s="539">
        <v>23</v>
      </c>
      <c r="U1762" s="1009"/>
      <c r="V1762" s="1192"/>
    </row>
    <row r="1763" spans="1:22" s="1193" customFormat="1" ht="30" hidden="1">
      <c r="A1763" s="1110"/>
      <c r="B1763" s="1008"/>
      <c r="C1763" s="820" t="s">
        <v>719</v>
      </c>
      <c r="D1763" s="623">
        <f>D1844</f>
        <v>35</v>
      </c>
      <c r="E1763" s="624" t="str">
        <f t="shared" ref="E1763:I1763" si="229">E1844</f>
        <v>+</v>
      </c>
      <c r="F1763" s="625">
        <f t="shared" si="229"/>
        <v>14</v>
      </c>
      <c r="G1763" s="623">
        <f t="shared" si="229"/>
        <v>39</v>
      </c>
      <c r="H1763" s="624" t="str">
        <f t="shared" si="229"/>
        <v>+</v>
      </c>
      <c r="I1763" s="625">
        <f t="shared" si="229"/>
        <v>16</v>
      </c>
      <c r="J1763" s="509"/>
      <c r="K1763" s="509">
        <f t="shared" si="228"/>
        <v>82</v>
      </c>
      <c r="L1763" s="509"/>
      <c r="M1763" s="509">
        <v>12</v>
      </c>
      <c r="N1763" s="509"/>
      <c r="O1763" s="509"/>
      <c r="P1763" s="536"/>
      <c r="Q1763" s="509"/>
      <c r="R1763" s="537">
        <f>SUM(220+(2*22)+32)</f>
        <v>296</v>
      </c>
      <c r="S1763" s="509" t="s">
        <v>583</v>
      </c>
      <c r="T1763" s="539">
        <v>25</v>
      </c>
      <c r="U1763" s="1009" t="s">
        <v>1069</v>
      </c>
      <c r="V1763" s="1192"/>
    </row>
    <row r="1764" spans="1:22" s="1193" customFormat="1" ht="30" hidden="1">
      <c r="A1764" s="1110"/>
      <c r="B1764" s="1008"/>
      <c r="C1764" s="820" t="s">
        <v>719</v>
      </c>
      <c r="D1764" s="623">
        <f t="shared" ref="D1764:I1765" si="230">D316</f>
        <v>31</v>
      </c>
      <c r="E1764" s="624" t="str">
        <f t="shared" si="230"/>
        <v>+</v>
      </c>
      <c r="F1764" s="625">
        <f t="shared" si="230"/>
        <v>12</v>
      </c>
      <c r="G1764" s="623">
        <f t="shared" si="230"/>
        <v>35</v>
      </c>
      <c r="H1764" s="624" t="str">
        <f t="shared" si="230"/>
        <v>+</v>
      </c>
      <c r="I1764" s="625">
        <f t="shared" si="230"/>
        <v>14</v>
      </c>
      <c r="J1764" s="509"/>
      <c r="K1764" s="509">
        <f t="shared" ref="K1764" si="231">(G1764-D1764)*20+I1764-F1764</f>
        <v>82</v>
      </c>
      <c r="L1764" s="509"/>
      <c r="M1764" s="509">
        <v>12</v>
      </c>
      <c r="N1764" s="509"/>
      <c r="O1764" s="509"/>
      <c r="P1764" s="536"/>
      <c r="Q1764" s="509"/>
      <c r="R1764" s="537">
        <v>199</v>
      </c>
      <c r="S1764" s="509" t="s">
        <v>583</v>
      </c>
      <c r="T1764" s="539">
        <v>26</v>
      </c>
      <c r="U1764" s="1009" t="s">
        <v>1069</v>
      </c>
      <c r="V1764" s="1192"/>
    </row>
    <row r="1765" spans="1:22" s="1193" customFormat="1" ht="30" hidden="1">
      <c r="A1765" s="1110"/>
      <c r="B1765" s="1008"/>
      <c r="C1765" s="820" t="s">
        <v>719</v>
      </c>
      <c r="D1765" s="623">
        <f t="shared" si="230"/>
        <v>39</v>
      </c>
      <c r="E1765" s="624" t="str">
        <f t="shared" si="230"/>
        <v>+</v>
      </c>
      <c r="F1765" s="625">
        <f t="shared" si="230"/>
        <v>16</v>
      </c>
      <c r="G1765" s="623">
        <f t="shared" si="230"/>
        <v>41</v>
      </c>
      <c r="H1765" s="624" t="str">
        <f t="shared" si="230"/>
        <v>+</v>
      </c>
      <c r="I1765" s="625">
        <f t="shared" si="230"/>
        <v>16</v>
      </c>
      <c r="J1765" s="509"/>
      <c r="K1765" s="509">
        <f t="shared" ref="K1765" si="232">(G1765-D1765)*20+I1765-F1765</f>
        <v>40</v>
      </c>
      <c r="L1765" s="509"/>
      <c r="M1765" s="509">
        <v>12</v>
      </c>
      <c r="N1765" s="509"/>
      <c r="O1765" s="509"/>
      <c r="P1765" s="536"/>
      <c r="Q1765" s="509"/>
      <c r="R1765" s="537">
        <v>97</v>
      </c>
      <c r="S1765" s="509" t="s">
        <v>583</v>
      </c>
      <c r="T1765" s="539">
        <v>26</v>
      </c>
      <c r="U1765" s="1009" t="s">
        <v>1069</v>
      </c>
      <c r="V1765" s="1192"/>
    </row>
    <row r="1766" spans="1:22" s="1193" customFormat="1" ht="30" hidden="1">
      <c r="A1766" s="1110"/>
      <c r="B1766" s="1008"/>
      <c r="C1766" s="820" t="s">
        <v>719</v>
      </c>
      <c r="D1766" s="623">
        <f>D318</f>
        <v>41</v>
      </c>
      <c r="E1766" s="624" t="str">
        <f>E318</f>
        <v>+</v>
      </c>
      <c r="F1766" s="625">
        <f>F318</f>
        <v>16</v>
      </c>
      <c r="G1766" s="623">
        <v>41</v>
      </c>
      <c r="H1766" s="624" t="s">
        <v>299</v>
      </c>
      <c r="I1766" s="625">
        <v>19</v>
      </c>
      <c r="J1766" s="509"/>
      <c r="K1766" s="509"/>
      <c r="L1766" s="509"/>
      <c r="M1766" s="509">
        <v>12</v>
      </c>
      <c r="N1766" s="509"/>
      <c r="O1766" s="509"/>
      <c r="P1766" s="536"/>
      <c r="Q1766" s="509"/>
      <c r="R1766" s="537">
        <v>220</v>
      </c>
      <c r="S1766" s="509" t="s">
        <v>583</v>
      </c>
      <c r="T1766" s="539">
        <v>27</v>
      </c>
      <c r="U1766" s="1009" t="s">
        <v>1069</v>
      </c>
      <c r="V1766" s="1192"/>
    </row>
    <row r="1767" spans="1:22" s="1193" customFormat="1" hidden="1">
      <c r="A1767" s="1110"/>
      <c r="B1767" s="1671"/>
      <c r="C1767" s="832" t="s">
        <v>719</v>
      </c>
      <c r="D1767" s="821">
        <v>41</v>
      </c>
      <c r="E1767" s="1184" t="s">
        <v>299</v>
      </c>
      <c r="F1767" s="823">
        <v>19</v>
      </c>
      <c r="G1767" s="821">
        <v>42</v>
      </c>
      <c r="H1767" s="1184" t="s">
        <v>299</v>
      </c>
      <c r="I1767" s="823">
        <v>0</v>
      </c>
      <c r="J1767" s="1160"/>
      <c r="K1767" s="1160"/>
      <c r="L1767" s="1160"/>
      <c r="M1767" s="1160">
        <v>12</v>
      </c>
      <c r="N1767" s="1160"/>
      <c r="O1767" s="1160"/>
      <c r="P1767" s="1188"/>
      <c r="Q1767" s="1160"/>
      <c r="R1767" s="1672">
        <v>140</v>
      </c>
      <c r="S1767" s="1160" t="s">
        <v>583</v>
      </c>
      <c r="T1767" s="632">
        <v>27</v>
      </c>
      <c r="U1767" s="1694" t="s">
        <v>1146</v>
      </c>
      <c r="V1767" s="1192"/>
    </row>
    <row r="1768" spans="1:22" s="164" customFormat="1" hidden="1">
      <c r="A1768" s="1106"/>
      <c r="B1768" s="239"/>
      <c r="C1768" s="1603"/>
      <c r="D1768" s="2730" t="s">
        <v>257</v>
      </c>
      <c r="E1768" s="2731"/>
      <c r="F1768" s="2731"/>
      <c r="G1768" s="2731"/>
      <c r="H1768" s="2731"/>
      <c r="I1768" s="2732"/>
      <c r="J1768" s="2490">
        <f>VLOOKUP(A1770,'11 - FINANCEIRA'!$A$16:$AE$156,30,FALSE)</f>
        <v>3082</v>
      </c>
      <c r="K1768" s="2491"/>
      <c r="L1768" s="309" t="str">
        <f>VLOOKUP(A1770,'11 - FINANCEIRA'!_xlnm.Print_Area,4,FALSE)</f>
        <v>H</v>
      </c>
      <c r="M1768" s="2727" t="s">
        <v>258</v>
      </c>
      <c r="N1768" s="2728"/>
      <c r="O1768" s="2728"/>
      <c r="P1768" s="2728"/>
      <c r="Q1768" s="2729"/>
      <c r="R1768" s="248">
        <f>SUM(R1752:R1767)</f>
        <v>3081</v>
      </c>
      <c r="S1768" s="310" t="str">
        <f>L1768</f>
        <v>H</v>
      </c>
      <c r="T1768" s="321"/>
      <c r="U1768" s="322"/>
      <c r="V1768" s="662"/>
    </row>
    <row r="1769" spans="1:22" s="164" customFormat="1" hidden="1">
      <c r="A1769" s="1106"/>
      <c r="B1769" s="246"/>
      <c r="C1769" s="247"/>
      <c r="D1769" s="2478" t="s">
        <v>259</v>
      </c>
      <c r="E1769" s="2479"/>
      <c r="F1769" s="2479"/>
      <c r="G1769" s="2479"/>
      <c r="H1769" s="2479"/>
      <c r="I1769" s="2480"/>
      <c r="J1769" s="2484">
        <f>R1768/J1768</f>
        <v>0.999675535366645</v>
      </c>
      <c r="K1769" s="2485"/>
      <c r="L1769" s="743"/>
      <c r="M1769" s="2727" t="s">
        <v>260</v>
      </c>
      <c r="N1769" s="2728"/>
      <c r="O1769" s="2728"/>
      <c r="P1769" s="2728"/>
      <c r="Q1769" s="2729"/>
      <c r="R1769" s="248">
        <f>VLOOKUP(A1770,'11 - FINANCEIRA'!_xlnm.Print_Area,8,FALSE)</f>
        <v>3081</v>
      </c>
      <c r="S1769" s="249" t="str">
        <f>L1768</f>
        <v>H</v>
      </c>
      <c r="T1769" s="244"/>
      <c r="U1769" s="245"/>
      <c r="V1769" s="662"/>
    </row>
    <row r="1770" spans="1:22" s="164" customFormat="1" hidden="1">
      <c r="A1770" s="1106" t="s">
        <v>448</v>
      </c>
      <c r="B1770" s="250"/>
      <c r="C1770" s="598"/>
      <c r="D1770" s="2481"/>
      <c r="E1770" s="2482"/>
      <c r="F1770" s="2482"/>
      <c r="G1770" s="2482"/>
      <c r="H1770" s="2482"/>
      <c r="I1770" s="2483"/>
      <c r="J1770" s="2486"/>
      <c r="K1770" s="2487"/>
      <c r="L1770" s="751"/>
      <c r="M1770" s="2727" t="s">
        <v>261</v>
      </c>
      <c r="N1770" s="2728"/>
      <c r="O1770" s="2728"/>
      <c r="P1770" s="2728"/>
      <c r="Q1770" s="2729"/>
      <c r="R1770" s="248">
        <f>R1768-R1769</f>
        <v>0</v>
      </c>
      <c r="S1770" s="249" t="str">
        <f>L1768</f>
        <v>H</v>
      </c>
      <c r="T1770" s="562"/>
      <c r="U1770" s="563"/>
      <c r="V1770" s="662"/>
    </row>
    <row r="1771" spans="1:22" s="164" customFormat="1" hidden="1">
      <c r="A1771" s="1770"/>
      <c r="B1771" s="660"/>
      <c r="D1771" s="661"/>
      <c r="E1771" s="662"/>
      <c r="F1771" s="663"/>
      <c r="G1771" s="661"/>
      <c r="I1771" s="663"/>
      <c r="K1771" s="664"/>
      <c r="L1771" s="664"/>
      <c r="N1771" s="511"/>
      <c r="O1771" s="662"/>
      <c r="Q1771" s="665"/>
      <c r="R1771" s="666"/>
      <c r="S1771" s="667"/>
      <c r="U1771" s="662"/>
      <c r="V1771" s="662"/>
    </row>
    <row r="1772" spans="1:22" s="164" customFormat="1" ht="31.5">
      <c r="A1772" s="1106"/>
      <c r="B1772" s="717" t="str">
        <f>VLOOKUP(A1799,'11 - FINANCEIRA'!_xlnm.Print_Area,2,FALSE)</f>
        <v>CPU02</v>
      </c>
      <c r="C1772" s="785" t="str">
        <f>VLOOKUP(A1799,'11 - FINANCEIRA'!_xlnm.Print_Area,3,FALSE)</f>
        <v>CONJUNTO MOTO BOMBA CENTRIFUGA 6", A DIESEL/GASOLINA, 24 CV, COM ACESSÓRIOS</v>
      </c>
      <c r="D1772" s="2472" t="s">
        <v>242</v>
      </c>
      <c r="E1772" s="2473"/>
      <c r="F1772" s="2473"/>
      <c r="G1772" s="2473"/>
      <c r="H1772" s="2473"/>
      <c r="I1772" s="2474"/>
      <c r="J1772" s="733" t="s">
        <v>373</v>
      </c>
      <c r="K1772" s="733" t="s">
        <v>541</v>
      </c>
      <c r="L1772" s="733" t="s">
        <v>480</v>
      </c>
      <c r="M1772" s="733" t="s">
        <v>542</v>
      </c>
      <c r="N1772" s="733"/>
      <c r="O1772" s="733" t="s">
        <v>543</v>
      </c>
      <c r="P1772" s="173" t="s">
        <v>249</v>
      </c>
      <c r="Q1772" s="716" t="s">
        <v>250</v>
      </c>
      <c r="R1772" s="734" t="s">
        <v>139</v>
      </c>
      <c r="S1772" s="733" t="s">
        <v>251</v>
      </c>
      <c r="T1772" s="733" t="s">
        <v>252</v>
      </c>
      <c r="U1772" s="735" t="s">
        <v>253</v>
      </c>
      <c r="V1772" s="662"/>
    </row>
    <row r="1773" spans="1:22" s="164" customFormat="1">
      <c r="A1773" s="1106"/>
      <c r="B1773" s="718"/>
      <c r="C1773" s="736"/>
      <c r="D1773" s="2475" t="s">
        <v>254</v>
      </c>
      <c r="E1773" s="2476"/>
      <c r="F1773" s="2477"/>
      <c r="G1773" s="2469" t="s">
        <v>255</v>
      </c>
      <c r="H1773" s="2470"/>
      <c r="I1773" s="2471"/>
      <c r="J1773" s="740"/>
      <c r="K1773" s="740"/>
      <c r="L1773" s="740"/>
      <c r="M1773" s="740"/>
      <c r="N1773" s="740"/>
      <c r="O1773" s="740"/>
      <c r="P1773" s="177" t="s">
        <v>256</v>
      </c>
      <c r="Q1773" s="740"/>
      <c r="R1773" s="741"/>
      <c r="S1773" s="740"/>
      <c r="T1773" s="740"/>
      <c r="U1773" s="742"/>
      <c r="V1773" s="662"/>
    </row>
    <row r="1774" spans="1:22" s="40" customFormat="1" ht="20.25">
      <c r="A1774" s="1110"/>
      <c r="B1774" s="336"/>
      <c r="C1774" s="831" t="s">
        <v>545</v>
      </c>
      <c r="D1774" s="419"/>
      <c r="E1774" s="958"/>
      <c r="F1774" s="421"/>
      <c r="G1774" s="419"/>
      <c r="H1774" s="958"/>
      <c r="I1774" s="421"/>
      <c r="J1774" s="275"/>
      <c r="K1774" s="275">
        <v>30</v>
      </c>
      <c r="L1774" s="275">
        <v>1</v>
      </c>
      <c r="M1774" s="275">
        <v>21</v>
      </c>
      <c r="N1774" s="275"/>
      <c r="O1774" s="275">
        <f t="shared" ref="O1774:O1779" si="233">L1774/K1774</f>
        <v>3.3333333333333333E-2</v>
      </c>
      <c r="P1774" s="338"/>
      <c r="Q1774" s="275"/>
      <c r="R1774" s="191">
        <f t="shared" ref="R1774:R1779" si="234">M1774*O1774</f>
        <v>0.7</v>
      </c>
      <c r="S1774" s="489" t="s">
        <v>156</v>
      </c>
      <c r="T1774" s="276">
        <v>12</v>
      </c>
      <c r="U1774" s="848"/>
    </row>
    <row r="1775" spans="1:22" s="40" customFormat="1" ht="20.25">
      <c r="A1775" s="1110"/>
      <c r="B1775" s="296"/>
      <c r="C1775" s="820" t="s">
        <v>544</v>
      </c>
      <c r="D1775" s="623"/>
      <c r="E1775" s="861"/>
      <c r="F1775" s="625"/>
      <c r="G1775" s="623"/>
      <c r="H1775" s="861"/>
      <c r="I1775" s="625"/>
      <c r="J1775" s="340"/>
      <c r="K1775" s="340">
        <v>30</v>
      </c>
      <c r="L1775" s="340">
        <v>1</v>
      </c>
      <c r="M1775" s="340">
        <v>15</v>
      </c>
      <c r="N1775" s="340"/>
      <c r="O1775" s="340">
        <f t="shared" si="233"/>
        <v>3.3333333333333333E-2</v>
      </c>
      <c r="P1775" s="461"/>
      <c r="Q1775" s="340"/>
      <c r="R1775" s="462">
        <f t="shared" si="234"/>
        <v>0.5</v>
      </c>
      <c r="S1775" s="434" t="s">
        <v>156</v>
      </c>
      <c r="T1775" s="347">
        <v>12</v>
      </c>
      <c r="U1775" s="1411"/>
    </row>
    <row r="1776" spans="1:22" s="40" customFormat="1" ht="20.25">
      <c r="A1776" s="1110"/>
      <c r="B1776" s="296"/>
      <c r="C1776" s="820" t="s">
        <v>582</v>
      </c>
      <c r="D1776" s="623"/>
      <c r="E1776" s="861"/>
      <c r="F1776" s="625"/>
      <c r="G1776" s="623"/>
      <c r="H1776" s="861"/>
      <c r="I1776" s="625"/>
      <c r="J1776" s="340"/>
      <c r="K1776" s="340">
        <v>30</v>
      </c>
      <c r="L1776" s="340">
        <v>1</v>
      </c>
      <c r="M1776" s="340">
        <v>30</v>
      </c>
      <c r="N1776" s="340"/>
      <c r="O1776" s="340">
        <f t="shared" si="233"/>
        <v>3.3333333333333333E-2</v>
      </c>
      <c r="P1776" s="461"/>
      <c r="Q1776" s="340"/>
      <c r="R1776" s="462">
        <f t="shared" si="234"/>
        <v>1</v>
      </c>
      <c r="S1776" s="434" t="s">
        <v>156</v>
      </c>
      <c r="T1776" s="347">
        <v>13</v>
      </c>
      <c r="U1776" s="1411"/>
    </row>
    <row r="1777" spans="1:22" ht="20.25">
      <c r="A1777" s="1110"/>
      <c r="B1777" s="296"/>
      <c r="C1777" s="820" t="s">
        <v>595</v>
      </c>
      <c r="D1777" s="623"/>
      <c r="E1777" s="861"/>
      <c r="F1777" s="625"/>
      <c r="G1777" s="623"/>
      <c r="H1777" s="861"/>
      <c r="I1777" s="625"/>
      <c r="J1777" s="340"/>
      <c r="K1777" s="340">
        <v>30</v>
      </c>
      <c r="L1777" s="340">
        <v>1</v>
      </c>
      <c r="M1777" s="340">
        <v>30</v>
      </c>
      <c r="N1777" s="340"/>
      <c r="O1777" s="340">
        <f t="shared" si="233"/>
        <v>3.3333333333333333E-2</v>
      </c>
      <c r="P1777" s="461"/>
      <c r="Q1777" s="340"/>
      <c r="R1777" s="462">
        <f t="shared" si="234"/>
        <v>1</v>
      </c>
      <c r="S1777" s="434" t="s">
        <v>156</v>
      </c>
      <c r="T1777" s="347">
        <v>14</v>
      </c>
      <c r="U1777" s="1411"/>
      <c r="V1777" s="842"/>
    </row>
    <row r="1778" spans="1:22" ht="20.25">
      <c r="A1778" s="1110"/>
      <c r="B1778" s="296"/>
      <c r="C1778" s="820" t="s">
        <v>603</v>
      </c>
      <c r="D1778" s="623"/>
      <c r="E1778" s="861"/>
      <c r="F1778" s="625"/>
      <c r="G1778" s="623"/>
      <c r="H1778" s="861"/>
      <c r="I1778" s="625"/>
      <c r="J1778" s="340"/>
      <c r="K1778" s="340">
        <v>30</v>
      </c>
      <c r="L1778" s="340">
        <v>1</v>
      </c>
      <c r="M1778" s="340">
        <v>30</v>
      </c>
      <c r="N1778" s="340"/>
      <c r="O1778" s="340">
        <f t="shared" si="233"/>
        <v>3.3333333333333333E-2</v>
      </c>
      <c r="P1778" s="461"/>
      <c r="Q1778" s="340"/>
      <c r="R1778" s="462">
        <f t="shared" si="234"/>
        <v>1</v>
      </c>
      <c r="S1778" s="434" t="s">
        <v>156</v>
      </c>
      <c r="T1778" s="347">
        <v>15</v>
      </c>
      <c r="U1778" s="1411"/>
      <c r="V1778" s="842"/>
    </row>
    <row r="1779" spans="1:22" ht="20.25">
      <c r="A1779" s="1110"/>
      <c r="B1779" s="296"/>
      <c r="C1779" s="820" t="s">
        <v>657</v>
      </c>
      <c r="D1779" s="623"/>
      <c r="E1779" s="861"/>
      <c r="F1779" s="625"/>
      <c r="G1779" s="623"/>
      <c r="H1779" s="861"/>
      <c r="I1779" s="625"/>
      <c r="J1779" s="340"/>
      <c r="K1779" s="340">
        <v>30</v>
      </c>
      <c r="L1779" s="340">
        <v>1</v>
      </c>
      <c r="M1779" s="340">
        <v>30</v>
      </c>
      <c r="N1779" s="340"/>
      <c r="O1779" s="340">
        <f t="shared" si="233"/>
        <v>3.3333333333333333E-2</v>
      </c>
      <c r="P1779" s="461"/>
      <c r="Q1779" s="340"/>
      <c r="R1779" s="462">
        <f t="shared" si="234"/>
        <v>1</v>
      </c>
      <c r="S1779" s="434" t="s">
        <v>156</v>
      </c>
      <c r="T1779" s="347">
        <v>16</v>
      </c>
      <c r="U1779" s="1411"/>
      <c r="V1779" s="842"/>
    </row>
    <row r="1780" spans="1:22" ht="20.25">
      <c r="A1780" s="1110"/>
      <c r="B1780" s="296"/>
      <c r="C1780" s="820" t="s">
        <v>671</v>
      </c>
      <c r="D1780" s="623"/>
      <c r="E1780" s="861"/>
      <c r="F1780" s="625"/>
      <c r="G1780" s="623"/>
      <c r="H1780" s="861"/>
      <c r="I1780" s="625"/>
      <c r="J1780" s="340"/>
      <c r="K1780" s="340">
        <v>30</v>
      </c>
      <c r="L1780" s="340">
        <v>1</v>
      </c>
      <c r="M1780" s="340">
        <v>30</v>
      </c>
      <c r="N1780" s="340"/>
      <c r="O1780" s="340">
        <f t="shared" ref="O1780:O1788" si="235">L1780/K1780</f>
        <v>3.3333333333333333E-2</v>
      </c>
      <c r="P1780" s="461"/>
      <c r="Q1780" s="340"/>
      <c r="R1780" s="462">
        <f>M1780*O1780</f>
        <v>1</v>
      </c>
      <c r="S1780" s="434" t="s">
        <v>156</v>
      </c>
      <c r="T1780" s="347">
        <v>17</v>
      </c>
      <c r="U1780" s="1411"/>
      <c r="V1780" s="842"/>
    </row>
    <row r="1781" spans="1:22" ht="20.25">
      <c r="A1781" s="1110"/>
      <c r="B1781" s="296"/>
      <c r="C1781" s="820" t="s">
        <v>720</v>
      </c>
      <c r="D1781" s="623"/>
      <c r="E1781" s="861"/>
      <c r="F1781" s="625"/>
      <c r="G1781" s="623"/>
      <c r="H1781" s="861"/>
      <c r="I1781" s="625"/>
      <c r="J1781" s="340"/>
      <c r="K1781" s="340">
        <v>30</v>
      </c>
      <c r="L1781" s="340">
        <v>1</v>
      </c>
      <c r="M1781" s="340">
        <v>30</v>
      </c>
      <c r="N1781" s="340"/>
      <c r="O1781" s="340">
        <f t="shared" si="235"/>
        <v>3.3333333333333333E-2</v>
      </c>
      <c r="P1781" s="461"/>
      <c r="Q1781" s="340"/>
      <c r="R1781" s="462">
        <f>M1781*O1781</f>
        <v>1</v>
      </c>
      <c r="S1781" s="434" t="s">
        <v>156</v>
      </c>
      <c r="T1781" s="347">
        <v>18</v>
      </c>
      <c r="U1781" s="1411"/>
      <c r="V1781" s="842"/>
    </row>
    <row r="1782" spans="1:22" ht="20.25">
      <c r="A1782" s="1110"/>
      <c r="B1782" s="296"/>
      <c r="C1782" s="820" t="s">
        <v>731</v>
      </c>
      <c r="D1782" s="623"/>
      <c r="E1782" s="861"/>
      <c r="F1782" s="625"/>
      <c r="G1782" s="623"/>
      <c r="H1782" s="861"/>
      <c r="I1782" s="625"/>
      <c r="J1782" s="340"/>
      <c r="K1782" s="340">
        <v>30</v>
      </c>
      <c r="L1782" s="340">
        <v>1</v>
      </c>
      <c r="M1782" s="340">
        <v>30</v>
      </c>
      <c r="N1782" s="340"/>
      <c r="O1782" s="340">
        <f t="shared" si="235"/>
        <v>3.3333333333333333E-2</v>
      </c>
      <c r="P1782" s="461"/>
      <c r="Q1782" s="340"/>
      <c r="R1782" s="462">
        <f>M1782*O1782</f>
        <v>1</v>
      </c>
      <c r="S1782" s="434" t="s">
        <v>156</v>
      </c>
      <c r="T1782" s="347">
        <v>19</v>
      </c>
      <c r="U1782" s="1411"/>
      <c r="V1782" s="842"/>
    </row>
    <row r="1783" spans="1:22" s="164" customFormat="1" ht="20.25">
      <c r="A1783" s="1106"/>
      <c r="B1783" s="296"/>
      <c r="C1783" s="820" t="s">
        <v>751</v>
      </c>
      <c r="D1783" s="623"/>
      <c r="E1783" s="861"/>
      <c r="F1783" s="625"/>
      <c r="G1783" s="623"/>
      <c r="H1783" s="861"/>
      <c r="I1783" s="625"/>
      <c r="J1783" s="340"/>
      <c r="K1783" s="340">
        <v>30</v>
      </c>
      <c r="L1783" s="340">
        <v>1</v>
      </c>
      <c r="M1783" s="340">
        <v>30</v>
      </c>
      <c r="N1783" s="340"/>
      <c r="O1783" s="340">
        <f t="shared" si="235"/>
        <v>3.3333333333333333E-2</v>
      </c>
      <c r="P1783" s="461"/>
      <c r="Q1783" s="340"/>
      <c r="R1783" s="462">
        <f>M1783*O1783</f>
        <v>1</v>
      </c>
      <c r="S1783" s="434" t="s">
        <v>156</v>
      </c>
      <c r="T1783" s="347">
        <v>20</v>
      </c>
      <c r="U1783" s="1412"/>
      <c r="V1783" s="662"/>
    </row>
    <row r="1784" spans="1:22" ht="20.25">
      <c r="A1784" s="1110"/>
      <c r="B1784" s="296"/>
      <c r="C1784" s="820" t="s">
        <v>786</v>
      </c>
      <c r="D1784" s="623"/>
      <c r="E1784" s="861"/>
      <c r="F1784" s="625"/>
      <c r="G1784" s="623"/>
      <c r="H1784" s="861"/>
      <c r="I1784" s="625"/>
      <c r="J1784" s="340"/>
      <c r="K1784" s="340">
        <v>30</v>
      </c>
      <c r="L1784" s="340">
        <v>1</v>
      </c>
      <c r="M1784" s="340">
        <v>30</v>
      </c>
      <c r="N1784" s="340"/>
      <c r="O1784" s="340">
        <f t="shared" si="235"/>
        <v>3.3333333333333333E-2</v>
      </c>
      <c r="P1784" s="461"/>
      <c r="Q1784" s="340"/>
      <c r="R1784" s="462">
        <v>1</v>
      </c>
      <c r="S1784" s="434" t="s">
        <v>156</v>
      </c>
      <c r="T1784" s="347">
        <v>21</v>
      </c>
      <c r="U1784" s="1411"/>
      <c r="V1784" s="842"/>
    </row>
    <row r="1785" spans="1:22" ht="20.25">
      <c r="A1785" s="1110"/>
      <c r="B1785" s="296"/>
      <c r="C1785" s="820" t="s">
        <v>859</v>
      </c>
      <c r="D1785" s="623"/>
      <c r="E1785" s="861"/>
      <c r="F1785" s="625"/>
      <c r="G1785" s="623"/>
      <c r="H1785" s="861"/>
      <c r="I1785" s="625"/>
      <c r="J1785" s="560"/>
      <c r="K1785" s="340">
        <v>30</v>
      </c>
      <c r="L1785" s="340">
        <v>1</v>
      </c>
      <c r="M1785" s="340">
        <v>30</v>
      </c>
      <c r="N1785" s="340"/>
      <c r="O1785" s="340">
        <f t="shared" si="235"/>
        <v>3.3333333333333333E-2</v>
      </c>
      <c r="P1785" s="461"/>
      <c r="Q1785" s="340"/>
      <c r="R1785" s="462">
        <v>1</v>
      </c>
      <c r="S1785" s="434" t="s">
        <v>156</v>
      </c>
      <c r="T1785" s="347">
        <v>22</v>
      </c>
      <c r="U1785" s="1411"/>
      <c r="V1785" s="842"/>
    </row>
    <row r="1786" spans="1:22" ht="20.25">
      <c r="A1786" s="1110"/>
      <c r="B1786" s="296"/>
      <c r="C1786" s="820" t="s">
        <v>860</v>
      </c>
      <c r="D1786" s="623"/>
      <c r="E1786" s="861"/>
      <c r="F1786" s="625"/>
      <c r="G1786" s="623"/>
      <c r="H1786" s="861"/>
      <c r="I1786" s="625"/>
      <c r="J1786" s="560"/>
      <c r="K1786" s="340">
        <v>30</v>
      </c>
      <c r="L1786" s="340">
        <v>1</v>
      </c>
      <c r="M1786" s="340">
        <v>30</v>
      </c>
      <c r="N1786" s="340"/>
      <c r="O1786" s="340">
        <f t="shared" si="235"/>
        <v>3.3333333333333333E-2</v>
      </c>
      <c r="P1786" s="461"/>
      <c r="Q1786" s="340"/>
      <c r="R1786" s="462"/>
      <c r="S1786" s="434" t="s">
        <v>156</v>
      </c>
      <c r="T1786" s="347">
        <v>22</v>
      </c>
      <c r="U1786" s="1411"/>
      <c r="V1786" s="842"/>
    </row>
    <row r="1787" spans="1:22" ht="20.25">
      <c r="A1787" s="1110"/>
      <c r="B1787" s="296"/>
      <c r="C1787" s="820" t="s">
        <v>922</v>
      </c>
      <c r="D1787" s="623"/>
      <c r="E1787" s="861"/>
      <c r="F1787" s="625"/>
      <c r="G1787" s="623"/>
      <c r="H1787" s="861"/>
      <c r="I1787" s="625"/>
      <c r="J1787" s="560"/>
      <c r="K1787" s="340">
        <v>30</v>
      </c>
      <c r="L1787" s="340">
        <v>1</v>
      </c>
      <c r="M1787" s="340">
        <v>30</v>
      </c>
      <c r="N1787" s="340"/>
      <c r="O1787" s="340">
        <f t="shared" si="235"/>
        <v>3.3333333333333333E-2</v>
      </c>
      <c r="P1787" s="461"/>
      <c r="Q1787" s="340"/>
      <c r="R1787" s="462">
        <v>1</v>
      </c>
      <c r="S1787" s="434" t="s">
        <v>156</v>
      </c>
      <c r="T1787" s="347">
        <v>23</v>
      </c>
      <c r="U1787" s="1411"/>
      <c r="V1787" s="842"/>
    </row>
    <row r="1788" spans="1:22" ht="20.25">
      <c r="A1788" s="1110"/>
      <c r="B1788" s="296"/>
      <c r="C1788" s="820" t="s">
        <v>965</v>
      </c>
      <c r="D1788" s="623"/>
      <c r="E1788" s="861"/>
      <c r="F1788" s="625"/>
      <c r="G1788" s="623"/>
      <c r="H1788" s="861"/>
      <c r="I1788" s="625"/>
      <c r="J1788" s="560"/>
      <c r="K1788" s="340">
        <v>30</v>
      </c>
      <c r="L1788" s="340">
        <v>1</v>
      </c>
      <c r="M1788" s="340">
        <v>30</v>
      </c>
      <c r="N1788" s="340"/>
      <c r="O1788" s="340">
        <f t="shared" si="235"/>
        <v>3.3333333333333333E-2</v>
      </c>
      <c r="P1788" s="461"/>
      <c r="Q1788" s="340"/>
      <c r="R1788" s="462">
        <v>1</v>
      </c>
      <c r="S1788" s="434" t="s">
        <v>156</v>
      </c>
      <c r="T1788" s="347">
        <v>24</v>
      </c>
      <c r="U1788" s="1411"/>
      <c r="V1788" s="842"/>
    </row>
    <row r="1789" spans="1:22">
      <c r="A1789" s="1110"/>
      <c r="B1789" s="296"/>
      <c r="C1789" s="820" t="s">
        <v>1022</v>
      </c>
      <c r="D1789" s="623"/>
      <c r="E1789" s="861"/>
      <c r="F1789" s="625"/>
      <c r="G1789" s="623"/>
      <c r="H1789" s="861"/>
      <c r="I1789" s="625"/>
      <c r="J1789" s="560"/>
      <c r="K1789" s="340">
        <v>30</v>
      </c>
      <c r="L1789" s="340">
        <v>1</v>
      </c>
      <c r="M1789" s="340">
        <v>30</v>
      </c>
      <c r="N1789" s="340"/>
      <c r="O1789" s="340">
        <f t="shared" ref="O1789" si="236">L1789/K1789</f>
        <v>3.3333333333333333E-2</v>
      </c>
      <c r="P1789" s="461"/>
      <c r="Q1789" s="340"/>
      <c r="R1789" s="462">
        <v>0.5</v>
      </c>
      <c r="S1789" s="434" t="s">
        <v>156</v>
      </c>
      <c r="T1789" s="347">
        <v>25</v>
      </c>
      <c r="U1789" s="849" t="s">
        <v>1024</v>
      </c>
      <c r="V1789" s="842"/>
    </row>
    <row r="1790" spans="1:22" ht="20.25">
      <c r="A1790" s="1110"/>
      <c r="B1790" s="296"/>
      <c r="C1790" s="820" t="s">
        <v>1023</v>
      </c>
      <c r="D1790" s="623"/>
      <c r="E1790" s="861"/>
      <c r="F1790" s="625"/>
      <c r="G1790" s="623"/>
      <c r="H1790" s="861"/>
      <c r="I1790" s="625"/>
      <c r="J1790" s="560"/>
      <c r="K1790" s="340">
        <v>30</v>
      </c>
      <c r="L1790" s="340">
        <v>1</v>
      </c>
      <c r="M1790" s="340">
        <v>30</v>
      </c>
      <c r="N1790" s="340"/>
      <c r="O1790" s="340">
        <f t="shared" ref="O1790" si="237">L1790/K1790</f>
        <v>3.3333333333333333E-2</v>
      </c>
      <c r="P1790" s="461"/>
      <c r="Q1790" s="340"/>
      <c r="R1790" s="462">
        <v>1</v>
      </c>
      <c r="S1790" s="434" t="s">
        <v>156</v>
      </c>
      <c r="T1790" s="347">
        <v>25</v>
      </c>
      <c r="U1790" s="1411"/>
      <c r="V1790" s="842"/>
    </row>
    <row r="1791" spans="1:22" ht="20.25">
      <c r="A1791" s="1110"/>
      <c r="B1791" s="296"/>
      <c r="C1791" s="820" t="s">
        <v>1076</v>
      </c>
      <c r="D1791" s="623"/>
      <c r="E1791" s="861"/>
      <c r="F1791" s="625"/>
      <c r="G1791" s="623"/>
      <c r="H1791" s="861"/>
      <c r="I1791" s="625"/>
      <c r="J1791" s="560"/>
      <c r="K1791" s="340">
        <v>30</v>
      </c>
      <c r="L1791" s="340">
        <v>1</v>
      </c>
      <c r="M1791" s="340">
        <v>30</v>
      </c>
      <c r="N1791" s="340"/>
      <c r="O1791" s="340">
        <f t="shared" ref="O1791" si="238">L1791/K1791</f>
        <v>3.3333333333333333E-2</v>
      </c>
      <c r="P1791" s="461"/>
      <c r="Q1791" s="340"/>
      <c r="R1791" s="462">
        <v>1</v>
      </c>
      <c r="S1791" s="434" t="s">
        <v>156</v>
      </c>
      <c r="T1791" s="347">
        <v>26</v>
      </c>
      <c r="U1791" s="1411"/>
      <c r="V1791" s="842"/>
    </row>
    <row r="1792" spans="1:22" ht="20.25">
      <c r="A1792" s="1110"/>
      <c r="B1792" s="296"/>
      <c r="C1792" s="820" t="s">
        <v>1113</v>
      </c>
      <c r="D1792" s="623"/>
      <c r="E1792" s="861"/>
      <c r="F1792" s="625"/>
      <c r="G1792" s="623"/>
      <c r="H1792" s="861"/>
      <c r="I1792" s="625"/>
      <c r="J1792" s="560"/>
      <c r="K1792" s="340">
        <v>30</v>
      </c>
      <c r="L1792" s="340">
        <v>1</v>
      </c>
      <c r="M1792" s="340">
        <v>30</v>
      </c>
      <c r="N1792" s="340"/>
      <c r="O1792" s="340">
        <f t="shared" ref="O1792" si="239">L1792/K1792</f>
        <v>3.3333333333333333E-2</v>
      </c>
      <c r="P1792" s="461"/>
      <c r="Q1792" s="340"/>
      <c r="R1792" s="462">
        <v>1</v>
      </c>
      <c r="S1792" s="434" t="s">
        <v>156</v>
      </c>
      <c r="T1792" s="347">
        <v>27</v>
      </c>
      <c r="U1792" s="1411"/>
      <c r="V1792" s="842"/>
    </row>
    <row r="1793" spans="1:22" ht="20.25">
      <c r="A1793" s="1110"/>
      <c r="B1793" s="296"/>
      <c r="C1793" s="820" t="s">
        <v>1135</v>
      </c>
      <c r="D1793" s="623"/>
      <c r="E1793" s="861"/>
      <c r="F1793" s="625"/>
      <c r="G1793" s="623"/>
      <c r="H1793" s="861"/>
      <c r="I1793" s="625"/>
      <c r="J1793" s="560"/>
      <c r="K1793" s="340">
        <v>30</v>
      </c>
      <c r="L1793" s="340">
        <v>1</v>
      </c>
      <c r="M1793" s="340">
        <v>30</v>
      </c>
      <c r="N1793" s="340"/>
      <c r="O1793" s="340">
        <f t="shared" ref="O1793:O1794" si="240">L1793/K1793</f>
        <v>3.3333333333333333E-2</v>
      </c>
      <c r="P1793" s="461"/>
      <c r="Q1793" s="340"/>
      <c r="R1793" s="462">
        <v>1</v>
      </c>
      <c r="S1793" s="434" t="s">
        <v>156</v>
      </c>
      <c r="T1793" s="347">
        <v>27</v>
      </c>
      <c r="U1793" s="1411"/>
      <c r="V1793" s="842"/>
    </row>
    <row r="1794" spans="1:22" ht="20.25">
      <c r="A1794" s="1110"/>
      <c r="B1794" s="296"/>
      <c r="C1794" s="820" t="s">
        <v>1136</v>
      </c>
      <c r="D1794" s="623"/>
      <c r="E1794" s="861"/>
      <c r="F1794" s="625"/>
      <c r="G1794" s="623"/>
      <c r="H1794" s="861"/>
      <c r="I1794" s="625"/>
      <c r="J1794" s="560"/>
      <c r="K1794" s="340">
        <v>30</v>
      </c>
      <c r="L1794" s="340">
        <v>1</v>
      </c>
      <c r="M1794" s="340">
        <v>30</v>
      </c>
      <c r="N1794" s="340"/>
      <c r="O1794" s="340">
        <f t="shared" si="240"/>
        <v>3.3333333333333333E-2</v>
      </c>
      <c r="P1794" s="461"/>
      <c r="Q1794" s="340"/>
      <c r="R1794" s="462">
        <v>1</v>
      </c>
      <c r="S1794" s="434" t="s">
        <v>156</v>
      </c>
      <c r="T1794" s="347">
        <v>27</v>
      </c>
      <c r="U1794" s="1411"/>
      <c r="V1794" s="842"/>
    </row>
    <row r="1795" spans="1:22" s="687" customFormat="1" ht="20.25">
      <c r="A1795" s="1771"/>
      <c r="B1795" s="767"/>
      <c r="C1795" s="766" t="s">
        <v>1175</v>
      </c>
      <c r="D1795" s="770"/>
      <c r="E1795" s="1163"/>
      <c r="F1795" s="771"/>
      <c r="G1795" s="770"/>
      <c r="H1795" s="1163"/>
      <c r="I1795" s="771"/>
      <c r="J1795" s="561"/>
      <c r="K1795" s="438">
        <v>30</v>
      </c>
      <c r="L1795" s="438">
        <v>1</v>
      </c>
      <c r="M1795" s="438">
        <v>30</v>
      </c>
      <c r="N1795" s="438"/>
      <c r="O1795" s="438">
        <f t="shared" ref="O1795" si="241">L1795/K1795</f>
        <v>3.3333333333333333E-2</v>
      </c>
      <c r="P1795" s="453"/>
      <c r="Q1795" s="438"/>
      <c r="R1795" s="454">
        <v>1</v>
      </c>
      <c r="S1795" s="439" t="s">
        <v>156</v>
      </c>
      <c r="T1795" s="441">
        <v>28</v>
      </c>
      <c r="U1795" s="1412"/>
      <c r="V1795" s="1054"/>
    </row>
    <row r="1796" spans="1:22" s="687" customFormat="1" ht="20.25">
      <c r="A1796" s="1771"/>
      <c r="B1796" s="1515"/>
      <c r="C1796" s="1457" t="s">
        <v>1176</v>
      </c>
      <c r="D1796" s="1052"/>
      <c r="E1796" s="1055"/>
      <c r="F1796" s="1057"/>
      <c r="G1796" s="1052"/>
      <c r="H1796" s="1055"/>
      <c r="I1796" s="1057"/>
      <c r="J1796" s="872"/>
      <c r="K1796" s="760">
        <v>30</v>
      </c>
      <c r="L1796" s="760">
        <v>1</v>
      </c>
      <c r="M1796" s="760">
        <v>30</v>
      </c>
      <c r="N1796" s="760"/>
      <c r="O1796" s="760">
        <f t="shared" ref="O1796" si="242">L1796/K1796</f>
        <v>3.3333333333333333E-2</v>
      </c>
      <c r="P1796" s="873"/>
      <c r="Q1796" s="760"/>
      <c r="R1796" s="962">
        <v>0.3</v>
      </c>
      <c r="S1796" s="871" t="s">
        <v>156</v>
      </c>
      <c r="T1796" s="874">
        <v>28</v>
      </c>
      <c r="U1796" s="1695"/>
      <c r="V1796" s="1054"/>
    </row>
    <row r="1797" spans="1:22" s="164" customFormat="1" ht="15.75" customHeight="1">
      <c r="A1797" s="1106"/>
      <c r="B1797" s="239"/>
      <c r="C1797" s="1603"/>
      <c r="D1797" s="2730" t="s">
        <v>257</v>
      </c>
      <c r="E1797" s="2731"/>
      <c r="F1797" s="2731"/>
      <c r="G1797" s="2731"/>
      <c r="H1797" s="2731"/>
      <c r="I1797" s="2732"/>
      <c r="J1797" s="2490">
        <f>VLOOKUP(A1799,'11 - FINANCEIRA'!$A$16:$AE$156,30,FALSE)</f>
        <v>20</v>
      </c>
      <c r="K1797" s="2491"/>
      <c r="L1797" s="309" t="str">
        <f>VLOOKUP(A1799,'11 - FINANCEIRA'!_xlnm.Print_Area,4,FALSE)</f>
        <v>h</v>
      </c>
      <c r="M1797" s="2727" t="s">
        <v>258</v>
      </c>
      <c r="N1797" s="2728"/>
      <c r="O1797" s="2728"/>
      <c r="P1797" s="2728"/>
      <c r="Q1797" s="2729"/>
      <c r="R1797" s="248">
        <f>SUM(R1774:R1796)</f>
        <v>20</v>
      </c>
      <c r="S1797" s="310" t="str">
        <f>L1797</f>
        <v>h</v>
      </c>
      <c r="T1797" s="321"/>
      <c r="U1797" s="322"/>
      <c r="V1797" s="662"/>
    </row>
    <row r="1798" spans="1:22" s="164" customFormat="1" ht="15.75" customHeight="1">
      <c r="A1798" s="1106"/>
      <c r="B1798" s="1123"/>
      <c r="C1798" s="2182"/>
      <c r="D1798" s="2478" t="s">
        <v>259</v>
      </c>
      <c r="E1798" s="2479"/>
      <c r="F1798" s="2479"/>
      <c r="G1798" s="2479"/>
      <c r="H1798" s="2479"/>
      <c r="I1798" s="2480"/>
      <c r="J1798" s="2484">
        <f>R1797/J1797</f>
        <v>1</v>
      </c>
      <c r="K1798" s="2485"/>
      <c r="L1798" s="743"/>
      <c r="M1798" s="2727" t="s">
        <v>260</v>
      </c>
      <c r="N1798" s="2728"/>
      <c r="O1798" s="2728"/>
      <c r="P1798" s="2728"/>
      <c r="Q1798" s="2729"/>
      <c r="R1798" s="248">
        <f>VLOOKUP(A1799,'11 - FINANCEIRA'!_xlnm.Print_Area,8,FALSE)</f>
        <v>18.7</v>
      </c>
      <c r="S1798" s="249" t="str">
        <f>L1797</f>
        <v>h</v>
      </c>
      <c r="T1798" s="244"/>
      <c r="U1798" s="1124"/>
      <c r="V1798" s="662"/>
    </row>
    <row r="1799" spans="1:22" s="164" customFormat="1" ht="15.75" customHeight="1">
      <c r="A1799" s="1106" t="s">
        <v>449</v>
      </c>
      <c r="B1799" s="250"/>
      <c r="C1799" s="598"/>
      <c r="D1799" s="2481"/>
      <c r="E1799" s="2482"/>
      <c r="F1799" s="2482"/>
      <c r="G1799" s="2482"/>
      <c r="H1799" s="2482"/>
      <c r="I1799" s="2483"/>
      <c r="J1799" s="2486"/>
      <c r="K1799" s="2487"/>
      <c r="L1799" s="751"/>
      <c r="M1799" s="2727" t="s">
        <v>261</v>
      </c>
      <c r="N1799" s="2728"/>
      <c r="O1799" s="2728"/>
      <c r="P1799" s="2728"/>
      <c r="Q1799" s="2729"/>
      <c r="R1799" s="248">
        <f>R1797-R1798</f>
        <v>1.3000000000000007</v>
      </c>
      <c r="S1799" s="249" t="str">
        <f>L1797</f>
        <v>h</v>
      </c>
      <c r="T1799" s="562"/>
      <c r="U1799" s="563"/>
      <c r="V1799" s="662"/>
    </row>
    <row r="1800" spans="1:22" s="164" customFormat="1" hidden="1">
      <c r="A1800" s="1770"/>
      <c r="B1800" s="660"/>
      <c r="D1800" s="661"/>
      <c r="E1800" s="662"/>
      <c r="F1800" s="663"/>
      <c r="G1800" s="661"/>
      <c r="I1800" s="663"/>
      <c r="K1800" s="664"/>
      <c r="L1800" s="664"/>
      <c r="N1800" s="511"/>
      <c r="O1800" s="662"/>
      <c r="Q1800" s="665"/>
      <c r="R1800" s="666"/>
      <c r="S1800" s="667"/>
      <c r="U1800" s="662"/>
      <c r="V1800" s="662"/>
    </row>
    <row r="1801" spans="1:22" s="164" customFormat="1" ht="63" hidden="1">
      <c r="A1801" s="1106"/>
      <c r="B1801" s="717" t="str">
        <f>VLOOKUP(A1809,'11 - FINANCEIRA'!_xlnm.Print_Area,2,FALSE)</f>
        <v>CPU04</v>
      </c>
      <c r="C1801" s="785" t="str">
        <f>VLOOKUP(A1809,'11 - FINANCEIRA'!_xlnm.Print_Area,3,FALSE)</f>
        <v>Caixa de passagem de alvenaria de blocos de concreto 14x19x39cm, dimensões de 70x70x1,00m, com revestimento interno em chapisco e reboco tampa de concreto esp. 5cm e lastro de brita 5cm</v>
      </c>
      <c r="D1801" s="2472" t="s">
        <v>242</v>
      </c>
      <c r="E1801" s="2473"/>
      <c r="F1801" s="2473"/>
      <c r="G1801" s="2473"/>
      <c r="H1801" s="2473"/>
      <c r="I1801" s="2474"/>
      <c r="J1801" s="733" t="s">
        <v>373</v>
      </c>
      <c r="K1801" s="733" t="s">
        <v>244</v>
      </c>
      <c r="L1801" s="733" t="s">
        <v>245</v>
      </c>
      <c r="M1801" s="733" t="s">
        <v>246</v>
      </c>
      <c r="N1801" s="733" t="s">
        <v>247</v>
      </c>
      <c r="O1801" s="733" t="s">
        <v>248</v>
      </c>
      <c r="P1801" s="173" t="s">
        <v>249</v>
      </c>
      <c r="Q1801" s="716" t="s">
        <v>250</v>
      </c>
      <c r="R1801" s="734" t="s">
        <v>139</v>
      </c>
      <c r="S1801" s="733" t="s">
        <v>251</v>
      </c>
      <c r="T1801" s="733" t="s">
        <v>252</v>
      </c>
      <c r="U1801" s="735" t="s">
        <v>253</v>
      </c>
      <c r="V1801" s="662"/>
    </row>
    <row r="1802" spans="1:22" s="164" customFormat="1" hidden="1">
      <c r="A1802" s="1106"/>
      <c r="B1802" s="718"/>
      <c r="C1802" s="736"/>
      <c r="D1802" s="2475" t="s">
        <v>254</v>
      </c>
      <c r="E1802" s="2476"/>
      <c r="F1802" s="2477"/>
      <c r="G1802" s="2469" t="s">
        <v>255</v>
      </c>
      <c r="H1802" s="2470"/>
      <c r="I1802" s="2471"/>
      <c r="J1802" s="740"/>
      <c r="K1802" s="740"/>
      <c r="L1802" s="740"/>
      <c r="M1802" s="740"/>
      <c r="N1802" s="740"/>
      <c r="O1802" s="740"/>
      <c r="P1802" s="177" t="s">
        <v>256</v>
      </c>
      <c r="Q1802" s="740"/>
      <c r="R1802" s="741"/>
      <c r="S1802" s="740"/>
      <c r="T1802" s="740"/>
      <c r="U1802" s="742"/>
      <c r="V1802" s="662"/>
    </row>
    <row r="1803" spans="1:22" s="40" customFormat="1" ht="20.25" hidden="1">
      <c r="A1803" s="1110"/>
      <c r="B1803" s="336"/>
      <c r="C1803" s="831" t="s">
        <v>1033</v>
      </c>
      <c r="D1803" s="623">
        <v>0</v>
      </c>
      <c r="E1803" s="861" t="s">
        <v>299</v>
      </c>
      <c r="F1803" s="625">
        <v>0</v>
      </c>
      <c r="G1803" s="623">
        <v>2</v>
      </c>
      <c r="H1803" s="861" t="s">
        <v>299</v>
      </c>
      <c r="I1803" s="625">
        <v>0</v>
      </c>
      <c r="J1803" s="275"/>
      <c r="K1803" s="275"/>
      <c r="L1803" s="275">
        <v>0.7</v>
      </c>
      <c r="M1803" s="275"/>
      <c r="N1803" s="275">
        <f>R11123</f>
        <v>0</v>
      </c>
      <c r="O1803" s="275"/>
      <c r="P1803" s="338"/>
      <c r="Q1803" s="275"/>
      <c r="R1803" s="191">
        <v>7</v>
      </c>
      <c r="S1803" s="489" t="s">
        <v>251</v>
      </c>
      <c r="T1803" s="355">
        <v>12</v>
      </c>
      <c r="U1803" s="837"/>
    </row>
    <row r="1804" spans="1:22" s="164" customFormat="1" hidden="1">
      <c r="A1804" s="1104"/>
      <c r="B1804" s="195"/>
      <c r="C1804" s="695"/>
      <c r="D1804" s="744"/>
      <c r="E1804" s="745"/>
      <c r="F1804" s="746"/>
      <c r="G1804" s="281"/>
      <c r="H1804" s="282"/>
      <c r="I1804" s="283"/>
      <c r="J1804" s="747"/>
      <c r="K1804" s="744"/>
      <c r="L1804" s="747"/>
      <c r="M1804" s="746"/>
      <c r="N1804" s="745"/>
      <c r="O1804" s="744"/>
      <c r="P1804" s="748"/>
      <c r="Q1804" s="746"/>
      <c r="R1804" s="749"/>
      <c r="S1804" s="747"/>
      <c r="T1804" s="750"/>
      <c r="U1804" s="205"/>
      <c r="V1804" s="662"/>
    </row>
    <row r="1805" spans="1:22" s="164" customFormat="1" hidden="1">
      <c r="A1805" s="1105"/>
      <c r="B1805" s="206"/>
      <c r="C1805" s="287"/>
      <c r="D1805" s="288"/>
      <c r="E1805" s="289"/>
      <c r="F1805" s="290"/>
      <c r="G1805" s="288"/>
      <c r="H1805" s="289"/>
      <c r="I1805" s="290"/>
      <c r="J1805" s="201"/>
      <c r="K1805" s="291"/>
      <c r="L1805" s="291"/>
      <c r="M1805" s="291"/>
      <c r="N1805" s="291"/>
      <c r="O1805" s="292"/>
      <c r="P1805" s="291"/>
      <c r="Q1805" s="292"/>
      <c r="R1805" s="218"/>
      <c r="S1805" s="293"/>
      <c r="T1805" s="204"/>
      <c r="U1805" s="221"/>
      <c r="V1805" s="662"/>
    </row>
    <row r="1806" spans="1:22" s="164" customFormat="1" hidden="1">
      <c r="A1806" s="1106"/>
      <c r="B1806" s="223"/>
      <c r="C1806" s="224"/>
      <c r="D1806" s="225"/>
      <c r="E1806" s="226"/>
      <c r="F1806" s="227"/>
      <c r="G1806" s="225"/>
      <c r="H1806" s="226"/>
      <c r="I1806" s="227"/>
      <c r="J1806" s="228"/>
      <c r="K1806" s="229"/>
      <c r="L1806" s="230"/>
      <c r="M1806" s="231"/>
      <c r="N1806" s="232"/>
      <c r="O1806" s="233"/>
      <c r="P1806" s="230"/>
      <c r="Q1806" s="234"/>
      <c r="R1806" s="235"/>
      <c r="S1806" s="236"/>
      <c r="T1806" s="294"/>
      <c r="U1806" s="238"/>
      <c r="V1806" s="662"/>
    </row>
    <row r="1807" spans="1:22" s="164" customFormat="1" hidden="1">
      <c r="A1807" s="1106"/>
      <c r="B1807" s="239"/>
      <c r="C1807" s="1603"/>
      <c r="D1807" s="2730" t="s">
        <v>257</v>
      </c>
      <c r="E1807" s="2731"/>
      <c r="F1807" s="2731"/>
      <c r="G1807" s="2731"/>
      <c r="H1807" s="2731"/>
      <c r="I1807" s="2732"/>
      <c r="J1807" s="2490">
        <f>VLOOKUP(A1809,'11 - FINANCEIRA'!_xlnm.Print_Area,28,FALSE)</f>
        <v>7</v>
      </c>
      <c r="K1807" s="2491"/>
      <c r="L1807" s="309" t="str">
        <f>VLOOKUP(A1809,'11 - FINANCEIRA'!_xlnm.Print_Area,4,FALSE)</f>
        <v>UNID</v>
      </c>
      <c r="M1807" s="2727" t="s">
        <v>258</v>
      </c>
      <c r="N1807" s="2728"/>
      <c r="O1807" s="2728"/>
      <c r="P1807" s="2728"/>
      <c r="Q1807" s="2729"/>
      <c r="R1807" s="248">
        <f>SUM(R1803:R1806)</f>
        <v>7</v>
      </c>
      <c r="S1807" s="310" t="str">
        <f>L1807</f>
        <v>UNID</v>
      </c>
      <c r="T1807" s="321"/>
      <c r="U1807" s="322"/>
      <c r="V1807" s="662"/>
    </row>
    <row r="1808" spans="1:22" s="164" customFormat="1" hidden="1">
      <c r="A1808" s="1106"/>
      <c r="B1808" s="246"/>
      <c r="C1808" s="247"/>
      <c r="D1808" s="2478" t="s">
        <v>259</v>
      </c>
      <c r="E1808" s="2479"/>
      <c r="F1808" s="2479"/>
      <c r="G1808" s="2479"/>
      <c r="H1808" s="2479"/>
      <c r="I1808" s="2480"/>
      <c r="J1808" s="2484">
        <f>R1807/J1807</f>
        <v>1</v>
      </c>
      <c r="K1808" s="2485"/>
      <c r="L1808" s="743"/>
      <c r="M1808" s="2727" t="s">
        <v>260</v>
      </c>
      <c r="N1808" s="2728"/>
      <c r="O1808" s="2728"/>
      <c r="P1808" s="2728"/>
      <c r="Q1808" s="2729"/>
      <c r="R1808" s="248">
        <f>VLOOKUP(A1809,'11 - FINANCEIRA'!_xlnm.Print_Area,8,FALSE)</f>
        <v>7</v>
      </c>
      <c r="S1808" s="249" t="str">
        <f>L1807</f>
        <v>UNID</v>
      </c>
      <c r="T1808" s="244"/>
      <c r="U1808" s="245"/>
      <c r="V1808" s="662"/>
    </row>
    <row r="1809" spans="1:22" s="164" customFormat="1" hidden="1">
      <c r="A1809" s="1106" t="s">
        <v>450</v>
      </c>
      <c r="B1809" s="250"/>
      <c r="C1809" s="598"/>
      <c r="D1809" s="2481"/>
      <c r="E1809" s="2482"/>
      <c r="F1809" s="2482"/>
      <c r="G1809" s="2482"/>
      <c r="H1809" s="2482"/>
      <c r="I1809" s="2483"/>
      <c r="J1809" s="2486"/>
      <c r="K1809" s="2487"/>
      <c r="L1809" s="751"/>
      <c r="M1809" s="2727" t="s">
        <v>261</v>
      </c>
      <c r="N1809" s="2728"/>
      <c r="O1809" s="2728"/>
      <c r="P1809" s="2728"/>
      <c r="Q1809" s="2729"/>
      <c r="R1809" s="248">
        <f>R1807-R1808</f>
        <v>0</v>
      </c>
      <c r="S1809" s="249" t="str">
        <f>L1807</f>
        <v>UNID</v>
      </c>
      <c r="T1809" s="562"/>
      <c r="U1809" s="563"/>
      <c r="V1809" s="662"/>
    </row>
    <row r="1810" spans="1:22" s="600" customFormat="1" hidden="1">
      <c r="A1810" s="1106"/>
      <c r="B1810" s="311"/>
      <c r="C1810" s="312"/>
      <c r="D1810" s="314"/>
      <c r="E1810" s="314"/>
      <c r="F1810" s="314"/>
      <c r="G1810" s="314"/>
      <c r="H1810" s="314"/>
      <c r="I1810" s="314"/>
      <c r="J1810" s="316"/>
      <c r="K1810" s="316"/>
      <c r="L1810" s="2042"/>
      <c r="M1810" s="2043"/>
      <c r="N1810" s="2043"/>
      <c r="O1810" s="2043"/>
      <c r="P1810" s="2043"/>
      <c r="Q1810" s="2043"/>
      <c r="R1810" s="319"/>
      <c r="S1810" s="320"/>
      <c r="T1810" s="321"/>
      <c r="U1810" s="322"/>
      <c r="V1810" s="660"/>
    </row>
    <row r="1811" spans="1:22" s="164" customFormat="1" ht="31.5">
      <c r="A1811" s="1106"/>
      <c r="B1811" s="717">
        <f>VLOOKUP(A1820,'11 - FINANCEIRA'!_xlnm.Print_Area,2,FALSE)</f>
        <v>42047</v>
      </c>
      <c r="C1811" s="785" t="str">
        <f>VLOOKUP(A1820,'11 - FINANCEIRA'!_xlnm.Print_Area,3,FALSE)</f>
        <v>Elemento de Madeira para Sinalização - Cavaletes</v>
      </c>
      <c r="D1811" s="2472" t="s">
        <v>242</v>
      </c>
      <c r="E1811" s="2473"/>
      <c r="F1811" s="2473"/>
      <c r="G1811" s="2473"/>
      <c r="H1811" s="2473"/>
      <c r="I1811" s="2474"/>
      <c r="J1811" s="733" t="s">
        <v>373</v>
      </c>
      <c r="K1811" s="733"/>
      <c r="L1811" s="733" t="s">
        <v>480</v>
      </c>
      <c r="M1811" s="733" t="s">
        <v>542</v>
      </c>
      <c r="N1811" s="733"/>
      <c r="O1811" s="733" t="s">
        <v>543</v>
      </c>
      <c r="P1811" s="173" t="s">
        <v>249</v>
      </c>
      <c r="Q1811" s="716" t="s">
        <v>250</v>
      </c>
      <c r="R1811" s="734" t="s">
        <v>139</v>
      </c>
      <c r="S1811" s="733" t="s">
        <v>251</v>
      </c>
      <c r="T1811" s="733" t="s">
        <v>252</v>
      </c>
      <c r="U1811" s="735" t="s">
        <v>253</v>
      </c>
      <c r="V1811" s="662"/>
    </row>
    <row r="1812" spans="1:22" s="164" customFormat="1">
      <c r="A1812" s="1106"/>
      <c r="B1812" s="718"/>
      <c r="C1812" s="736"/>
      <c r="D1812" s="2475" t="s">
        <v>254</v>
      </c>
      <c r="E1812" s="2476"/>
      <c r="F1812" s="2477"/>
      <c r="G1812" s="2469" t="s">
        <v>255</v>
      </c>
      <c r="H1812" s="2470"/>
      <c r="I1812" s="2471"/>
      <c r="J1812" s="740"/>
      <c r="K1812" s="740"/>
      <c r="L1812" s="740"/>
      <c r="M1812" s="740"/>
      <c r="N1812" s="740"/>
      <c r="O1812" s="740"/>
      <c r="P1812" s="177" t="s">
        <v>256</v>
      </c>
      <c r="Q1812" s="740"/>
      <c r="R1812" s="741"/>
      <c r="S1812" s="740"/>
      <c r="T1812" s="740"/>
      <c r="U1812" s="742"/>
      <c r="V1812" s="662"/>
    </row>
    <row r="1813" spans="1:22" s="40" customFormat="1" ht="20.25">
      <c r="A1813" s="1110"/>
      <c r="B1813" s="336"/>
      <c r="C1813" s="835" t="s">
        <v>895</v>
      </c>
      <c r="D1813" s="623">
        <v>2</v>
      </c>
      <c r="E1813" s="861" t="s">
        <v>299</v>
      </c>
      <c r="F1813" s="625">
        <v>14</v>
      </c>
      <c r="G1813" s="623"/>
      <c r="H1813" s="861"/>
      <c r="I1813" s="625"/>
      <c r="J1813" s="340"/>
      <c r="K1813" s="340"/>
      <c r="L1813" s="340">
        <v>8</v>
      </c>
      <c r="M1813" s="340">
        <v>1.1000000000000001</v>
      </c>
      <c r="N1813" s="340">
        <v>0</v>
      </c>
      <c r="O1813" s="340"/>
      <c r="P1813" s="461"/>
      <c r="Q1813" s="340"/>
      <c r="R1813" s="462">
        <v>30</v>
      </c>
      <c r="S1813" s="489" t="str">
        <f>S1811</f>
        <v>UND</v>
      </c>
      <c r="T1813" s="276">
        <v>22</v>
      </c>
      <c r="U1813" s="848"/>
    </row>
    <row r="1814" spans="1:22" s="40" customFormat="1" ht="20.25">
      <c r="A1814" s="1110"/>
      <c r="B1814" s="296"/>
      <c r="C1814" s="820" t="s">
        <v>1034</v>
      </c>
      <c r="D1814" s="623">
        <v>9</v>
      </c>
      <c r="E1814" s="861" t="s">
        <v>299</v>
      </c>
      <c r="F1814" s="625">
        <v>0</v>
      </c>
      <c r="G1814" s="623"/>
      <c r="H1814" s="861"/>
      <c r="I1814" s="625"/>
      <c r="J1814" s="340"/>
      <c r="K1814" s="340"/>
      <c r="L1814" s="340">
        <v>8</v>
      </c>
      <c r="M1814" s="340">
        <v>1.1000000000000001</v>
      </c>
      <c r="N1814" s="340">
        <v>0</v>
      </c>
      <c r="O1814" s="340"/>
      <c r="P1814" s="461"/>
      <c r="Q1814" s="340"/>
      <c r="R1814" s="462">
        <v>7.7</v>
      </c>
      <c r="S1814" s="434" t="str">
        <f>S1811</f>
        <v>UND</v>
      </c>
      <c r="T1814" s="347">
        <v>22</v>
      </c>
      <c r="U1814" s="1411"/>
    </row>
    <row r="1815" spans="1:22" ht="20.25">
      <c r="A1815" s="1110"/>
      <c r="B1815" s="296"/>
      <c r="C1815" s="820" t="s">
        <v>1035</v>
      </c>
      <c r="D1815" s="623">
        <v>20</v>
      </c>
      <c r="E1815" s="861" t="s">
        <v>299</v>
      </c>
      <c r="F1815" s="624">
        <v>0</v>
      </c>
      <c r="G1815" s="623"/>
      <c r="H1815" s="861"/>
      <c r="I1815" s="625"/>
      <c r="J1815" s="560"/>
      <c r="K1815" s="340"/>
      <c r="L1815" s="340">
        <v>9</v>
      </c>
      <c r="M1815" s="340">
        <v>1.1000000000000001</v>
      </c>
      <c r="N1815" s="340"/>
      <c r="O1815" s="340"/>
      <c r="P1815" s="461"/>
      <c r="Q1815" s="340"/>
      <c r="R1815" s="462">
        <v>19.8</v>
      </c>
      <c r="S1815" s="498" t="str">
        <f>S1811</f>
        <v>UND</v>
      </c>
      <c r="T1815" s="347">
        <v>22</v>
      </c>
      <c r="U1815" s="1411"/>
      <c r="V1815" s="842"/>
    </row>
    <row r="1816" spans="1:22" s="687" customFormat="1" ht="20.25">
      <c r="A1816" s="1771"/>
      <c r="B1816" s="767"/>
      <c r="C1816" s="766" t="s">
        <v>1205</v>
      </c>
      <c r="D1816" s="770">
        <v>31</v>
      </c>
      <c r="E1816" s="1163" t="s">
        <v>299</v>
      </c>
      <c r="F1816" s="1210">
        <v>10</v>
      </c>
      <c r="G1816" s="770"/>
      <c r="H1816" s="1163"/>
      <c r="I1816" s="771"/>
      <c r="J1816" s="561"/>
      <c r="K1816" s="438"/>
      <c r="L1816" s="438">
        <v>9</v>
      </c>
      <c r="M1816" s="438">
        <v>1.1000000000000001</v>
      </c>
      <c r="N1816" s="438"/>
      <c r="O1816" s="438"/>
      <c r="P1816" s="453"/>
      <c r="Q1816" s="438"/>
      <c r="R1816" s="454">
        <v>19.8</v>
      </c>
      <c r="S1816" s="437" t="s">
        <v>251</v>
      </c>
      <c r="T1816" s="441">
        <v>28</v>
      </c>
      <c r="U1816" s="1412"/>
      <c r="V1816" s="1054"/>
    </row>
    <row r="1817" spans="1:22" s="687" customFormat="1" ht="20.25">
      <c r="A1817" s="1771"/>
      <c r="B1817" s="1172"/>
      <c r="C1817" s="1014"/>
      <c r="D1817" s="1173"/>
      <c r="E1817" s="1217"/>
      <c r="F1817" s="227"/>
      <c r="G1817" s="1218"/>
      <c r="H1817" s="1217"/>
      <c r="I1817" s="1197"/>
      <c r="J1817" s="228"/>
      <c r="K1817" s="229"/>
      <c r="L1817" s="230"/>
      <c r="M1817" s="231"/>
      <c r="N1817" s="232"/>
      <c r="O1817" s="233"/>
      <c r="P1817" s="230"/>
      <c r="Q1817" s="234"/>
      <c r="R1817" s="1219"/>
      <c r="S1817" s="1215"/>
      <c r="T1817" s="999"/>
      <c r="U1817" s="1590"/>
      <c r="V1817" s="1054"/>
    </row>
    <row r="1818" spans="1:22" s="164" customFormat="1">
      <c r="A1818" s="1106"/>
      <c r="B1818" s="239"/>
      <c r="C1818" s="1603"/>
      <c r="D1818" s="2730" t="s">
        <v>257</v>
      </c>
      <c r="E1818" s="2731"/>
      <c r="F1818" s="2731"/>
      <c r="G1818" s="2731"/>
      <c r="H1818" s="2731"/>
      <c r="I1818" s="2732"/>
      <c r="J1818" s="2490">
        <f>VLOOKUP(A1820,'11 - FINANCEIRA'!$A$16:$AE$156,30,FALSE)</f>
        <v>77.3</v>
      </c>
      <c r="K1818" s="2491"/>
      <c r="L1818" s="309" t="str">
        <f>VLOOKUP(A1820,'11 - FINANCEIRA'!_xlnm.Print_Area,4,FALSE)</f>
        <v>UNID</v>
      </c>
      <c r="M1818" s="2727" t="s">
        <v>258</v>
      </c>
      <c r="N1818" s="2728"/>
      <c r="O1818" s="2728"/>
      <c r="P1818" s="2728"/>
      <c r="Q1818" s="2729"/>
      <c r="R1818" s="248">
        <f>SUM(R1813:R1816)</f>
        <v>77.3</v>
      </c>
      <c r="S1818" s="310" t="str">
        <f>L1818</f>
        <v>UNID</v>
      </c>
      <c r="T1818" s="321"/>
      <c r="U1818" s="322"/>
      <c r="V1818" s="662"/>
    </row>
    <row r="1819" spans="1:22" s="164" customFormat="1">
      <c r="A1819" s="1106"/>
      <c r="B1819" s="1123"/>
      <c r="C1819" s="2182"/>
      <c r="D1819" s="2478" t="s">
        <v>259</v>
      </c>
      <c r="E1819" s="2479"/>
      <c r="F1819" s="2479"/>
      <c r="G1819" s="2479"/>
      <c r="H1819" s="2479"/>
      <c r="I1819" s="2480"/>
      <c r="J1819" s="2484">
        <f>R1818/J1818</f>
        <v>1</v>
      </c>
      <c r="K1819" s="2485"/>
      <c r="L1819" s="743"/>
      <c r="M1819" s="2727" t="s">
        <v>260</v>
      </c>
      <c r="N1819" s="2728"/>
      <c r="O1819" s="2728"/>
      <c r="P1819" s="2728"/>
      <c r="Q1819" s="2729"/>
      <c r="R1819" s="248">
        <f>VLOOKUP(A1820,'11 - FINANCEIRA'!_xlnm.Print_Area,8,FALSE)</f>
        <v>57.5</v>
      </c>
      <c r="S1819" s="249" t="str">
        <f>L1818</f>
        <v>UNID</v>
      </c>
      <c r="T1819" s="244"/>
      <c r="U1819" s="1124"/>
      <c r="V1819" s="662"/>
    </row>
    <row r="1820" spans="1:22" s="164" customFormat="1">
      <c r="A1820" s="1106" t="s">
        <v>818</v>
      </c>
      <c r="B1820" s="250"/>
      <c r="C1820" s="598"/>
      <c r="D1820" s="2481"/>
      <c r="E1820" s="2482"/>
      <c r="F1820" s="2482"/>
      <c r="G1820" s="2482"/>
      <c r="H1820" s="2482"/>
      <c r="I1820" s="2483"/>
      <c r="J1820" s="2486"/>
      <c r="K1820" s="2487"/>
      <c r="L1820" s="751"/>
      <c r="M1820" s="2727" t="s">
        <v>261</v>
      </c>
      <c r="N1820" s="2728"/>
      <c r="O1820" s="2728"/>
      <c r="P1820" s="2728"/>
      <c r="Q1820" s="2729"/>
      <c r="R1820" s="248">
        <f>R1818-R1819</f>
        <v>19.799999999999997</v>
      </c>
      <c r="S1820" s="249" t="str">
        <f>L1818</f>
        <v>UNID</v>
      </c>
      <c r="T1820" s="562"/>
      <c r="U1820" s="563"/>
      <c r="V1820" s="662"/>
    </row>
    <row r="1821" spans="1:22" s="164" customFormat="1">
      <c r="A1821" s="1770"/>
      <c r="B1821" s="2301"/>
      <c r="C1821" s="2302"/>
      <c r="D1821" s="2303"/>
      <c r="E1821" s="2304"/>
      <c r="F1821" s="2305"/>
      <c r="G1821" s="2303"/>
      <c r="H1821" s="2302"/>
      <c r="I1821" s="2305"/>
      <c r="J1821" s="2302"/>
      <c r="K1821" s="2306"/>
      <c r="L1821" s="2306"/>
      <c r="M1821" s="2302"/>
      <c r="N1821" s="2307"/>
      <c r="O1821" s="2304"/>
      <c r="P1821" s="2302"/>
      <c r="Q1821" s="2308"/>
      <c r="R1821" s="2309"/>
      <c r="S1821" s="2310"/>
      <c r="T1821" s="2302"/>
      <c r="U1821" s="2311"/>
      <c r="V1821" s="662"/>
    </row>
    <row r="1822" spans="1:22" s="164" customFormat="1" ht="31.5" hidden="1">
      <c r="A1822" s="1106"/>
      <c r="B1822" s="2097">
        <f>VLOOKUP(A1829,'11 - FINANCEIRA'!_xlnm.Print_Area,2,FALSE)</f>
        <v>7010100340</v>
      </c>
      <c r="C1822" s="2164" t="str">
        <f>VLOOKUP(A1829,'11 - FINANCEIRA'!_xlnm.Print_Area,3,FALSE)</f>
        <v>MOB E DESMOB DE EQUIPAMENTOS &lt;=50KM</v>
      </c>
      <c r="D1822" s="2626" t="s">
        <v>242</v>
      </c>
      <c r="E1822" s="2627"/>
      <c r="F1822" s="2627"/>
      <c r="G1822" s="2627"/>
      <c r="H1822" s="2627"/>
      <c r="I1822" s="2628"/>
      <c r="J1822" s="2165" t="s">
        <v>373</v>
      </c>
      <c r="K1822" s="2165" t="s">
        <v>541</v>
      </c>
      <c r="L1822" s="2165" t="s">
        <v>480</v>
      </c>
      <c r="M1822" s="2165" t="s">
        <v>542</v>
      </c>
      <c r="N1822" s="2165"/>
      <c r="O1822" s="2165" t="s">
        <v>543</v>
      </c>
      <c r="P1822" s="2100" t="s">
        <v>249</v>
      </c>
      <c r="Q1822" s="2098" t="s">
        <v>250</v>
      </c>
      <c r="R1822" s="2166" t="s">
        <v>139</v>
      </c>
      <c r="S1822" s="2165" t="s">
        <v>251</v>
      </c>
      <c r="T1822" s="2165" t="s">
        <v>252</v>
      </c>
      <c r="U1822" s="2167" t="s">
        <v>253</v>
      </c>
      <c r="V1822" s="662"/>
    </row>
    <row r="1823" spans="1:22" s="164" customFormat="1" hidden="1">
      <c r="A1823" s="1106"/>
      <c r="B1823" s="718"/>
      <c r="C1823" s="736"/>
      <c r="D1823" s="2475" t="s">
        <v>254</v>
      </c>
      <c r="E1823" s="2476"/>
      <c r="F1823" s="2477"/>
      <c r="G1823" s="2469" t="s">
        <v>255</v>
      </c>
      <c r="H1823" s="2470"/>
      <c r="I1823" s="2471"/>
      <c r="J1823" s="740"/>
      <c r="K1823" s="740"/>
      <c r="L1823" s="740"/>
      <c r="M1823" s="740"/>
      <c r="N1823" s="740"/>
      <c r="O1823" s="740"/>
      <c r="P1823" s="177" t="s">
        <v>256</v>
      </c>
      <c r="Q1823" s="740"/>
      <c r="R1823" s="741"/>
      <c r="S1823" s="740"/>
      <c r="T1823" s="740"/>
      <c r="U1823" s="742"/>
      <c r="V1823" s="662"/>
    </row>
    <row r="1824" spans="1:22" s="40" customFormat="1" ht="20.25" hidden="1">
      <c r="A1824" s="1110"/>
      <c r="B1824" s="336"/>
      <c r="C1824" s="1138" t="s">
        <v>896</v>
      </c>
      <c r="D1824" s="1141"/>
      <c r="E1824" s="1142"/>
      <c r="F1824" s="1143"/>
      <c r="G1824" s="1144"/>
      <c r="H1824" s="1145"/>
      <c r="I1824" s="1146"/>
      <c r="J1824" s="1147"/>
      <c r="K1824" s="1147"/>
      <c r="L1824" s="1148"/>
      <c r="M1824" s="1148"/>
      <c r="N1824" s="1148"/>
      <c r="O1824" s="1148"/>
      <c r="P1824" s="1149"/>
      <c r="Q1824" s="1148"/>
      <c r="R1824" s="1150">
        <v>4</v>
      </c>
      <c r="S1824" s="434" t="s">
        <v>251</v>
      </c>
      <c r="T1824" s="347">
        <v>22</v>
      </c>
      <c r="U1824" s="862"/>
    </row>
    <row r="1825" spans="1:22" s="40" customFormat="1" ht="20.25" hidden="1">
      <c r="A1825" s="1109"/>
      <c r="B1825" s="296"/>
      <c r="C1825" s="820"/>
      <c r="D1825" s="623"/>
      <c r="E1825" s="861"/>
      <c r="F1825" s="625"/>
      <c r="G1825" s="623"/>
      <c r="H1825" s="861"/>
      <c r="I1825" s="625"/>
      <c r="J1825" s="340"/>
      <c r="K1825" s="340"/>
      <c r="L1825" s="340"/>
      <c r="M1825" s="340"/>
      <c r="N1825" s="340"/>
      <c r="O1825" s="340"/>
      <c r="P1825" s="461"/>
      <c r="Q1825" s="340"/>
      <c r="R1825" s="462"/>
      <c r="S1825" s="434"/>
      <c r="T1825" s="347"/>
      <c r="U1825" s="863"/>
    </row>
    <row r="1826" spans="1:22" s="164" customFormat="1" ht="20.25" hidden="1">
      <c r="A1826" s="1106"/>
      <c r="B1826" s="995"/>
      <c r="C1826" s="1014"/>
      <c r="D1826" s="1052"/>
      <c r="E1826" s="1055"/>
      <c r="F1826" s="1056"/>
      <c r="G1826" s="1056"/>
      <c r="H1826" s="1055"/>
      <c r="I1826" s="1057"/>
      <c r="J1826" s="228"/>
      <c r="K1826" s="229"/>
      <c r="L1826" s="230"/>
      <c r="M1826" s="231"/>
      <c r="N1826" s="232"/>
      <c r="O1826" s="233"/>
      <c r="P1826" s="230"/>
      <c r="Q1826" s="234"/>
      <c r="R1826" s="998"/>
      <c r="S1826" s="1015"/>
      <c r="T1826" s="999"/>
      <c r="U1826" s="1058"/>
      <c r="V1826" s="662"/>
    </row>
    <row r="1827" spans="1:22" s="164" customFormat="1" hidden="1">
      <c r="A1827" s="1106"/>
      <c r="B1827" s="239"/>
      <c r="C1827" s="1603"/>
      <c r="D1827" s="2730" t="s">
        <v>257</v>
      </c>
      <c r="E1827" s="2731"/>
      <c r="F1827" s="2731"/>
      <c r="G1827" s="2731"/>
      <c r="H1827" s="2731"/>
      <c r="I1827" s="2732"/>
      <c r="J1827" s="2490">
        <f>VLOOKUP(A1829,'11 - FINANCEIRA'!_xlnm.Print_Area,28,FALSE)</f>
        <v>4</v>
      </c>
      <c r="K1827" s="2491"/>
      <c r="L1827" s="309" t="str">
        <f>VLOOKUP(A1829,'11 - FINANCEIRA'!_xlnm.Print_Area,4,FALSE)</f>
        <v>UNID</v>
      </c>
      <c r="M1827" s="2727" t="s">
        <v>258</v>
      </c>
      <c r="N1827" s="2728"/>
      <c r="O1827" s="2728"/>
      <c r="P1827" s="2728"/>
      <c r="Q1827" s="2729"/>
      <c r="R1827" s="248">
        <f>SUM(R1824:R1825)</f>
        <v>4</v>
      </c>
      <c r="S1827" s="310" t="str">
        <f>L1827</f>
        <v>UNID</v>
      </c>
      <c r="T1827" s="321"/>
      <c r="U1827" s="322"/>
      <c r="V1827" s="662"/>
    </row>
    <row r="1828" spans="1:22" s="164" customFormat="1" hidden="1">
      <c r="A1828" s="1106"/>
      <c r="B1828" s="246"/>
      <c r="C1828" s="247"/>
      <c r="D1828" s="2478" t="s">
        <v>259</v>
      </c>
      <c r="E1828" s="2479"/>
      <c r="F1828" s="2479"/>
      <c r="G1828" s="2479"/>
      <c r="H1828" s="2479"/>
      <c r="I1828" s="2480"/>
      <c r="J1828" s="2484">
        <f>R1827/J1827</f>
        <v>1</v>
      </c>
      <c r="K1828" s="2485"/>
      <c r="L1828" s="743"/>
      <c r="M1828" s="2727" t="s">
        <v>260</v>
      </c>
      <c r="N1828" s="2728"/>
      <c r="O1828" s="2728"/>
      <c r="P1828" s="2728"/>
      <c r="Q1828" s="2729"/>
      <c r="R1828" s="248">
        <f>VLOOKUP(A1829,'11 - FINANCEIRA'!_xlnm.Print_Area,8,FALSE)</f>
        <v>4</v>
      </c>
      <c r="S1828" s="249" t="str">
        <f>L1827</f>
        <v>UNID</v>
      </c>
      <c r="T1828" s="244"/>
      <c r="U1828" s="245"/>
      <c r="V1828" s="662"/>
    </row>
    <row r="1829" spans="1:22" s="164" customFormat="1" hidden="1">
      <c r="A1829" s="1106" t="s">
        <v>819</v>
      </c>
      <c r="B1829" s="250"/>
      <c r="C1829" s="598"/>
      <c r="D1829" s="2481"/>
      <c r="E1829" s="2482"/>
      <c r="F1829" s="2482"/>
      <c r="G1829" s="2482"/>
      <c r="H1829" s="2482"/>
      <c r="I1829" s="2483"/>
      <c r="J1829" s="2486"/>
      <c r="K1829" s="2487"/>
      <c r="L1829" s="751"/>
      <c r="M1829" s="2727" t="s">
        <v>261</v>
      </c>
      <c r="N1829" s="2728"/>
      <c r="O1829" s="2728"/>
      <c r="P1829" s="2728"/>
      <c r="Q1829" s="2729"/>
      <c r="R1829" s="248">
        <f>R1827-R1828</f>
        <v>0</v>
      </c>
      <c r="S1829" s="249" t="str">
        <f>L1827</f>
        <v>UNID</v>
      </c>
      <c r="T1829" s="562"/>
      <c r="U1829" s="563"/>
      <c r="V1829" s="662"/>
    </row>
    <row r="1830" spans="1:22" s="164" customFormat="1" hidden="1">
      <c r="A1830" s="1770"/>
      <c r="B1830" s="660"/>
      <c r="D1830" s="661"/>
      <c r="E1830" s="662"/>
      <c r="F1830" s="663"/>
      <c r="G1830" s="661"/>
      <c r="I1830" s="663"/>
      <c r="K1830" s="664"/>
      <c r="L1830" s="664"/>
      <c r="N1830" s="511"/>
      <c r="O1830" s="662"/>
      <c r="Q1830" s="665"/>
      <c r="R1830" s="666"/>
      <c r="S1830" s="667"/>
      <c r="U1830" s="662"/>
      <c r="V1830" s="662"/>
    </row>
    <row r="1831" spans="1:22" s="164" customFormat="1" ht="31.5" hidden="1" customHeight="1">
      <c r="A1831" s="1106"/>
      <c r="B1831" s="717">
        <f>VLOOKUP(A1838,'11 - FINANCEIRA'!_xlnm.Print_Area,2,FALSE)</f>
        <v>42601</v>
      </c>
      <c r="C1831" s="2465" t="str">
        <f>VLOOKUP(A1838,'11 - FINANCEIRA'!_xlnm.Print_Area,3,FALSE)</f>
        <v>Alvenaria de bloco (39 x 19 x 09) cm espessura 09 cm em Vias Urbanas, inclusive transporte, areia,cimento e bloco</v>
      </c>
      <c r="D1831" s="2472" t="s">
        <v>242</v>
      </c>
      <c r="E1831" s="2473"/>
      <c r="F1831" s="2473"/>
      <c r="G1831" s="2473"/>
      <c r="H1831" s="2473"/>
      <c r="I1831" s="2474"/>
      <c r="J1831" s="733" t="s">
        <v>373</v>
      </c>
      <c r="K1831" s="733"/>
      <c r="L1831" s="716" t="s">
        <v>927</v>
      </c>
      <c r="M1831" s="716" t="s">
        <v>928</v>
      </c>
      <c r="N1831" s="716" t="s">
        <v>929</v>
      </c>
      <c r="O1831" s="733"/>
      <c r="P1831" s="173"/>
      <c r="Q1831" s="716"/>
      <c r="R1831" s="734" t="s">
        <v>139</v>
      </c>
      <c r="S1831" s="733" t="s">
        <v>251</v>
      </c>
      <c r="T1831" s="733" t="s">
        <v>252</v>
      </c>
      <c r="U1831" s="735" t="s">
        <v>253</v>
      </c>
      <c r="V1831" s="662"/>
    </row>
    <row r="1832" spans="1:22" s="164" customFormat="1" ht="18" hidden="1" customHeight="1">
      <c r="A1832" s="1106"/>
      <c r="B1832" s="718"/>
      <c r="C1832" s="2466"/>
      <c r="D1832" s="2475" t="s">
        <v>254</v>
      </c>
      <c r="E1832" s="2476"/>
      <c r="F1832" s="2477"/>
      <c r="G1832" s="2469" t="s">
        <v>255</v>
      </c>
      <c r="H1832" s="2470"/>
      <c r="I1832" s="2471"/>
      <c r="J1832" s="740"/>
      <c r="K1832" s="740"/>
      <c r="L1832" s="740"/>
      <c r="M1832" s="740"/>
      <c r="N1832" s="740"/>
      <c r="O1832" s="740"/>
      <c r="P1832" s="177"/>
      <c r="Q1832" s="740"/>
      <c r="R1832" s="741"/>
      <c r="S1832" s="740"/>
      <c r="T1832" s="740"/>
      <c r="U1832" s="742"/>
      <c r="V1832" s="662"/>
    </row>
    <row r="1833" spans="1:22" s="40" customFormat="1" ht="20.25" hidden="1">
      <c r="A1833" s="1110"/>
      <c r="B1833" s="336"/>
      <c r="C1833" s="831" t="s">
        <v>925</v>
      </c>
      <c r="D1833" s="419">
        <v>21</v>
      </c>
      <c r="E1833" s="958" t="s">
        <v>299</v>
      </c>
      <c r="F1833" s="421">
        <v>0</v>
      </c>
      <c r="G1833" s="419"/>
      <c r="H1833" s="958"/>
      <c r="I1833" s="421"/>
      <c r="J1833" s="275"/>
      <c r="K1833" s="275"/>
      <c r="L1833" s="1194"/>
      <c r="M1833" s="1194"/>
      <c r="N1833" s="1194"/>
      <c r="O1833" s="1194"/>
      <c r="P1833" s="1195"/>
      <c r="Q1833" s="275"/>
      <c r="R1833" s="191">
        <v>15</v>
      </c>
      <c r="S1833" s="489"/>
      <c r="T1833" s="276"/>
      <c r="U1833" s="862" t="s">
        <v>926</v>
      </c>
    </row>
    <row r="1834" spans="1:22" s="40" customFormat="1" ht="20.25" hidden="1">
      <c r="A1834" s="1109"/>
      <c r="B1834" s="296"/>
      <c r="C1834" s="820"/>
      <c r="D1834" s="623"/>
      <c r="E1834" s="861"/>
      <c r="F1834" s="625"/>
      <c r="G1834" s="623"/>
      <c r="H1834" s="861"/>
      <c r="I1834" s="625"/>
      <c r="J1834" s="340"/>
      <c r="K1834" s="340"/>
      <c r="L1834" s="340"/>
      <c r="M1834" s="340"/>
      <c r="N1834" s="340"/>
      <c r="O1834" s="340"/>
      <c r="P1834" s="461"/>
      <c r="Q1834" s="340"/>
      <c r="R1834" s="462"/>
      <c r="S1834" s="434"/>
      <c r="T1834" s="347"/>
      <c r="U1834" s="863"/>
    </row>
    <row r="1835" spans="1:22" s="164" customFormat="1" ht="20.25" hidden="1">
      <c r="A1835" s="1106"/>
      <c r="B1835" s="995"/>
      <c r="C1835" s="1014"/>
      <c r="D1835" s="1052"/>
      <c r="E1835" s="1055"/>
      <c r="F1835" s="1143"/>
      <c r="G1835" s="1056"/>
      <c r="H1835" s="1055"/>
      <c r="I1835" s="1057"/>
      <c r="J1835" s="228"/>
      <c r="K1835" s="229"/>
      <c r="L1835" s="230"/>
      <c r="M1835" s="231"/>
      <c r="N1835" s="232"/>
      <c r="O1835" s="233"/>
      <c r="P1835" s="230"/>
      <c r="Q1835" s="234"/>
      <c r="R1835" s="998"/>
      <c r="S1835" s="1015"/>
      <c r="T1835" s="999"/>
      <c r="U1835" s="1058"/>
      <c r="V1835" s="662"/>
    </row>
    <row r="1836" spans="1:22" s="164" customFormat="1" hidden="1">
      <c r="A1836" s="1106"/>
      <c r="B1836" s="239"/>
      <c r="C1836" s="1603"/>
      <c r="D1836" s="2730" t="s">
        <v>257</v>
      </c>
      <c r="E1836" s="2731"/>
      <c r="F1836" s="2731"/>
      <c r="G1836" s="2731"/>
      <c r="H1836" s="2731"/>
      <c r="I1836" s="2732"/>
      <c r="J1836" s="2490">
        <f>VLOOKUP(A1838,'11 - FINANCEIRA'!_xlnm.Print_Area,28,FALSE)</f>
        <v>15</v>
      </c>
      <c r="K1836" s="2491"/>
      <c r="L1836" s="309" t="str">
        <f>VLOOKUP(A1838,'11 - FINANCEIRA'!_xlnm.Print_Area,4,FALSE)</f>
        <v>UNID</v>
      </c>
      <c r="M1836" s="2727" t="s">
        <v>258</v>
      </c>
      <c r="N1836" s="2728"/>
      <c r="O1836" s="2728"/>
      <c r="P1836" s="2728"/>
      <c r="Q1836" s="2729"/>
      <c r="R1836" s="248">
        <f>SUM(R1833:R1834)</f>
        <v>15</v>
      </c>
      <c r="S1836" s="310" t="str">
        <f>L1836</f>
        <v>UNID</v>
      </c>
      <c r="T1836" s="321"/>
      <c r="U1836" s="322"/>
      <c r="V1836" s="662"/>
    </row>
    <row r="1837" spans="1:22" s="164" customFormat="1" hidden="1">
      <c r="A1837" s="1106"/>
      <c r="B1837" s="246"/>
      <c r="C1837" s="247"/>
      <c r="D1837" s="2478" t="s">
        <v>259</v>
      </c>
      <c r="E1837" s="2479"/>
      <c r="F1837" s="2479"/>
      <c r="G1837" s="2479"/>
      <c r="H1837" s="2479"/>
      <c r="I1837" s="2480"/>
      <c r="J1837" s="2484">
        <f>R1836/J1836</f>
        <v>1</v>
      </c>
      <c r="K1837" s="2485"/>
      <c r="L1837" s="743"/>
      <c r="M1837" s="2727" t="s">
        <v>260</v>
      </c>
      <c r="N1837" s="2728"/>
      <c r="O1837" s="2728"/>
      <c r="P1837" s="2728"/>
      <c r="Q1837" s="2729"/>
      <c r="R1837" s="248">
        <f>VLOOKUP(A1838,'11 - FINANCEIRA'!_xlnm.Print_Area,8,FALSE)</f>
        <v>15</v>
      </c>
      <c r="S1837" s="249" t="str">
        <f>L1836</f>
        <v>UNID</v>
      </c>
      <c r="T1837" s="244"/>
      <c r="U1837" s="245"/>
      <c r="V1837" s="662"/>
    </row>
    <row r="1838" spans="1:22" s="164" customFormat="1" hidden="1">
      <c r="A1838" s="1106" t="s">
        <v>820</v>
      </c>
      <c r="B1838" s="250"/>
      <c r="C1838" s="598"/>
      <c r="D1838" s="2481"/>
      <c r="E1838" s="2482"/>
      <c r="F1838" s="2482"/>
      <c r="G1838" s="2482"/>
      <c r="H1838" s="2482"/>
      <c r="I1838" s="2483"/>
      <c r="J1838" s="2486"/>
      <c r="K1838" s="2487"/>
      <c r="L1838" s="751"/>
      <c r="M1838" s="2727" t="s">
        <v>261</v>
      </c>
      <c r="N1838" s="2728"/>
      <c r="O1838" s="2728"/>
      <c r="P1838" s="2728"/>
      <c r="Q1838" s="2729"/>
      <c r="R1838" s="248">
        <f>R1836-R1837</f>
        <v>0</v>
      </c>
      <c r="S1838" s="249" t="str">
        <f>L1836</f>
        <v>UNID</v>
      </c>
      <c r="T1838" s="562"/>
      <c r="U1838" s="563"/>
      <c r="V1838" s="662"/>
    </row>
    <row r="1839" spans="1:22" s="600" customFormat="1" hidden="1">
      <c r="A1839" s="1106"/>
      <c r="B1839" s="295"/>
      <c r="C1839" s="254"/>
      <c r="D1839" s="256"/>
      <c r="E1839" s="256"/>
      <c r="F1839" s="256"/>
      <c r="G1839" s="256"/>
      <c r="H1839" s="256"/>
      <c r="I1839" s="256"/>
      <c r="J1839" s="258"/>
      <c r="K1839" s="258"/>
      <c r="L1839" s="1059"/>
      <c r="M1839" s="1060"/>
      <c r="N1839" s="1060"/>
      <c r="O1839" s="1060"/>
      <c r="P1839" s="1060"/>
      <c r="Q1839" s="1060"/>
      <c r="R1839" s="261"/>
      <c r="S1839" s="262"/>
      <c r="T1839" s="263"/>
      <c r="U1839" s="264"/>
      <c r="V1839" s="660"/>
    </row>
    <row r="1840" spans="1:22" s="164" customFormat="1" ht="31.5" hidden="1">
      <c r="A1840" s="1106"/>
      <c r="B1840" s="717">
        <f>VLOOKUP(A1849,'11 - FINANCEIRA'!_xlnm.Print_Area,2,FALSE)</f>
        <v>41224</v>
      </c>
      <c r="C1840" s="785" t="str">
        <f>VLOOKUP(A1849,'11 - FINANCEIRA'!_xlnm.Print_Area,3,FALSE)</f>
        <v>Religação de rede de água em PVC DN 20mm, inclusive conexões</v>
      </c>
      <c r="D1840" s="2472" t="s">
        <v>242</v>
      </c>
      <c r="E1840" s="2473"/>
      <c r="F1840" s="2473"/>
      <c r="G1840" s="2473"/>
      <c r="H1840" s="2473"/>
      <c r="I1840" s="2474"/>
      <c r="J1840" s="733" t="s">
        <v>373</v>
      </c>
      <c r="K1840" s="733" t="s">
        <v>1021</v>
      </c>
      <c r="L1840" s="733"/>
      <c r="M1840" s="733" t="s">
        <v>542</v>
      </c>
      <c r="N1840" s="733"/>
      <c r="O1840" s="733" t="s">
        <v>543</v>
      </c>
      <c r="P1840" s="173" t="s">
        <v>249</v>
      </c>
      <c r="Q1840" s="716" t="s">
        <v>250</v>
      </c>
      <c r="R1840" s="734" t="s">
        <v>139</v>
      </c>
      <c r="S1840" s="733" t="s">
        <v>251</v>
      </c>
      <c r="T1840" s="733" t="s">
        <v>252</v>
      </c>
      <c r="U1840" s="735" t="s">
        <v>253</v>
      </c>
      <c r="V1840" s="662"/>
    </row>
    <row r="1841" spans="1:22" s="164" customFormat="1" hidden="1">
      <c r="A1841" s="1106"/>
      <c r="B1841" s="718"/>
      <c r="C1841" s="736"/>
      <c r="D1841" s="2475" t="s">
        <v>254</v>
      </c>
      <c r="E1841" s="2476"/>
      <c r="F1841" s="2477"/>
      <c r="G1841" s="2469" t="s">
        <v>255</v>
      </c>
      <c r="H1841" s="2470"/>
      <c r="I1841" s="2471"/>
      <c r="J1841" s="740"/>
      <c r="K1841" s="740"/>
      <c r="L1841" s="740"/>
      <c r="M1841" s="740"/>
      <c r="N1841" s="740"/>
      <c r="O1841" s="740"/>
      <c r="P1841" s="177" t="s">
        <v>256</v>
      </c>
      <c r="Q1841" s="740"/>
      <c r="R1841" s="741"/>
      <c r="S1841" s="740"/>
      <c r="T1841" s="740"/>
      <c r="U1841" s="742"/>
      <c r="V1841" s="662"/>
    </row>
    <row r="1842" spans="1:22" s="40" customFormat="1" ht="20.25" hidden="1">
      <c r="A1842" s="1110"/>
      <c r="B1842" s="336"/>
      <c r="C1842" s="835" t="s">
        <v>897</v>
      </c>
      <c r="D1842" s="623">
        <v>11</v>
      </c>
      <c r="E1842" s="861" t="s">
        <v>299</v>
      </c>
      <c r="F1842" s="625">
        <v>10</v>
      </c>
      <c r="G1842" s="623">
        <v>25</v>
      </c>
      <c r="H1842" s="861" t="s">
        <v>299</v>
      </c>
      <c r="I1842" s="625">
        <v>0</v>
      </c>
      <c r="J1842" s="509">
        <v>2</v>
      </c>
      <c r="K1842" s="434">
        <v>270</v>
      </c>
      <c r="L1842" s="509"/>
      <c r="M1842" s="509"/>
      <c r="N1842" s="509"/>
      <c r="O1842" s="509"/>
      <c r="P1842" s="536"/>
      <c r="Q1842" s="825">
        <v>90</v>
      </c>
      <c r="R1842" s="1140">
        <v>180</v>
      </c>
      <c r="S1842" s="558" t="s">
        <v>251</v>
      </c>
      <c r="T1842" s="347">
        <v>22</v>
      </c>
      <c r="U1842" s="848"/>
    </row>
    <row r="1843" spans="1:22" s="40" customFormat="1" ht="20.25" hidden="1">
      <c r="A1843" s="1110"/>
      <c r="B1843" s="296"/>
      <c r="C1843" s="835" t="s">
        <v>897</v>
      </c>
      <c r="D1843" s="623">
        <v>25</v>
      </c>
      <c r="E1843" s="861" t="s">
        <v>299</v>
      </c>
      <c r="F1843" s="625">
        <v>16</v>
      </c>
      <c r="G1843" s="623">
        <v>31</v>
      </c>
      <c r="H1843" s="861" t="s">
        <v>299</v>
      </c>
      <c r="I1843" s="625">
        <v>12</v>
      </c>
      <c r="J1843" s="509">
        <v>2</v>
      </c>
      <c r="K1843" s="434">
        <v>270</v>
      </c>
      <c r="L1843" s="509"/>
      <c r="M1843" s="509"/>
      <c r="N1843" s="509"/>
      <c r="O1843" s="509"/>
      <c r="P1843" s="536"/>
      <c r="Q1843" s="825">
        <v>90</v>
      </c>
      <c r="R1843" s="1140">
        <v>100</v>
      </c>
      <c r="S1843" s="558" t="s">
        <v>251</v>
      </c>
      <c r="T1843" s="347">
        <v>23</v>
      </c>
      <c r="U1843" s="848"/>
    </row>
    <row r="1844" spans="1:22" s="40" customFormat="1" ht="20.25" hidden="1">
      <c r="A1844" s="1110"/>
      <c r="B1844" s="452"/>
      <c r="C1844" s="835" t="s">
        <v>897</v>
      </c>
      <c r="D1844" s="623">
        <f>D1887</f>
        <v>35</v>
      </c>
      <c r="E1844" s="624" t="str">
        <f t="shared" ref="E1844:I1844" si="243">E1887</f>
        <v>+</v>
      </c>
      <c r="F1844" s="625">
        <f t="shared" si="243"/>
        <v>14</v>
      </c>
      <c r="G1844" s="623">
        <f t="shared" si="243"/>
        <v>39</v>
      </c>
      <c r="H1844" s="624" t="str">
        <f t="shared" si="243"/>
        <v>+</v>
      </c>
      <c r="I1844" s="625">
        <f t="shared" si="243"/>
        <v>16</v>
      </c>
      <c r="J1844" s="392">
        <v>2</v>
      </c>
      <c r="K1844" s="340">
        <f>(G1844-D1844)*20+I1844-F1844</f>
        <v>82</v>
      </c>
      <c r="L1844" s="392"/>
      <c r="M1844" s="392"/>
      <c r="N1844" s="392"/>
      <c r="O1844" s="392">
        <f>SUM(378/240)</f>
        <v>1.575</v>
      </c>
      <c r="P1844" s="955"/>
      <c r="Q1844" s="392"/>
      <c r="R1844" s="1122">
        <f>K1844*O1844</f>
        <v>129.15</v>
      </c>
      <c r="S1844" s="558" t="s">
        <v>251</v>
      </c>
      <c r="T1844" s="819">
        <v>25</v>
      </c>
      <c r="U1844" s="1413"/>
    </row>
    <row r="1845" spans="1:22" s="40" customFormat="1" ht="20.25" hidden="1">
      <c r="A1845" s="1110"/>
      <c r="B1845" s="452"/>
      <c r="C1845" s="835" t="s">
        <v>897</v>
      </c>
      <c r="D1845" s="623">
        <f t="shared" ref="D1845:I1845" si="244">D316</f>
        <v>31</v>
      </c>
      <c r="E1845" s="624" t="str">
        <f t="shared" si="244"/>
        <v>+</v>
      </c>
      <c r="F1845" s="625">
        <f t="shared" si="244"/>
        <v>12</v>
      </c>
      <c r="G1845" s="623">
        <f t="shared" si="244"/>
        <v>35</v>
      </c>
      <c r="H1845" s="624" t="str">
        <f t="shared" si="244"/>
        <v>+</v>
      </c>
      <c r="I1845" s="625">
        <f t="shared" si="244"/>
        <v>14</v>
      </c>
      <c r="J1845" s="392">
        <v>2</v>
      </c>
      <c r="K1845" s="340">
        <f>(G1845-D1845)*20+I1845-F1845</f>
        <v>82</v>
      </c>
      <c r="L1845" s="392"/>
      <c r="M1845" s="392"/>
      <c r="N1845" s="392"/>
      <c r="O1845" s="392">
        <f>SUM(378/240)</f>
        <v>1.575</v>
      </c>
      <c r="P1845" s="955"/>
      <c r="Q1845" s="392"/>
      <c r="R1845" s="1122">
        <f>K1845*O1845</f>
        <v>129.15</v>
      </c>
      <c r="S1845" s="558" t="s">
        <v>251</v>
      </c>
      <c r="T1845" s="819">
        <v>26</v>
      </c>
      <c r="U1845" s="1413"/>
    </row>
    <row r="1846" spans="1:22" s="40" customFormat="1" hidden="1">
      <c r="A1846" s="1110"/>
      <c r="B1846" s="1126"/>
      <c r="C1846" s="1696" t="s">
        <v>897</v>
      </c>
      <c r="D1846" s="821">
        <f>D317</f>
        <v>39</v>
      </c>
      <c r="E1846" s="1184" t="str">
        <f>E317</f>
        <v>+</v>
      </c>
      <c r="F1846" s="823">
        <f>F317</f>
        <v>16</v>
      </c>
      <c r="G1846" s="821">
        <v>41</v>
      </c>
      <c r="H1846" s="1184" t="str">
        <f>H317</f>
        <v>+</v>
      </c>
      <c r="I1846" s="823">
        <v>1</v>
      </c>
      <c r="J1846" s="1604">
        <v>2</v>
      </c>
      <c r="K1846" s="357">
        <f>(G1846-D1846)*20+I1846-F1846</f>
        <v>25</v>
      </c>
      <c r="L1846" s="1604"/>
      <c r="M1846" s="1604"/>
      <c r="N1846" s="1604"/>
      <c r="O1846" s="1604">
        <f t="shared" ref="O1846" si="245">SUM(378/240)</f>
        <v>1.575</v>
      </c>
      <c r="P1846" s="1697"/>
      <c r="Q1846" s="1604"/>
      <c r="R1846" s="1121">
        <f>K1846*O1846</f>
        <v>39.375</v>
      </c>
      <c r="S1846" s="614" t="s">
        <v>251</v>
      </c>
      <c r="T1846" s="1698">
        <v>27</v>
      </c>
      <c r="U1846" s="1699" t="s">
        <v>1147</v>
      </c>
    </row>
    <row r="1847" spans="1:22" s="164" customFormat="1" hidden="1">
      <c r="A1847" s="1106"/>
      <c r="B1847" s="239"/>
      <c r="C1847" s="1603"/>
      <c r="D1847" s="2730" t="s">
        <v>257</v>
      </c>
      <c r="E1847" s="2731"/>
      <c r="F1847" s="2731"/>
      <c r="G1847" s="2731"/>
      <c r="H1847" s="2731"/>
      <c r="I1847" s="2732"/>
      <c r="J1847" s="2490">
        <f>VLOOKUP(A1849,'11 - FINANCEIRA'!$A$16:$AE$156,30,FALSE)</f>
        <v>578</v>
      </c>
      <c r="K1847" s="2491"/>
      <c r="L1847" s="309" t="str">
        <f>VLOOKUP(A1849,'11 - FINANCEIRA'!_xlnm.Print_Area,4,FALSE)</f>
        <v>M</v>
      </c>
      <c r="M1847" s="2727" t="s">
        <v>258</v>
      </c>
      <c r="N1847" s="2728"/>
      <c r="O1847" s="2728"/>
      <c r="P1847" s="2728"/>
      <c r="Q1847" s="2729"/>
      <c r="R1847" s="248">
        <f>SUM(R1842:R1846)</f>
        <v>577.67499999999995</v>
      </c>
      <c r="S1847" s="310" t="str">
        <f>L1847</f>
        <v>M</v>
      </c>
      <c r="T1847" s="321"/>
      <c r="U1847" s="322"/>
      <c r="V1847" s="662"/>
    </row>
    <row r="1848" spans="1:22" s="164" customFormat="1" hidden="1">
      <c r="A1848" s="1106"/>
      <c r="B1848" s="246"/>
      <c r="C1848" s="247"/>
      <c r="D1848" s="2478" t="s">
        <v>259</v>
      </c>
      <c r="E1848" s="2479"/>
      <c r="F1848" s="2479"/>
      <c r="G1848" s="2479"/>
      <c r="H1848" s="2479"/>
      <c r="I1848" s="2480"/>
      <c r="J1848" s="2484">
        <f>R1847/J1847</f>
        <v>0.99943771626297573</v>
      </c>
      <c r="K1848" s="2485"/>
      <c r="L1848" s="743"/>
      <c r="M1848" s="2727" t="s">
        <v>260</v>
      </c>
      <c r="N1848" s="2728"/>
      <c r="O1848" s="2728"/>
      <c r="P1848" s="2728"/>
      <c r="Q1848" s="2729"/>
      <c r="R1848" s="248">
        <f>VLOOKUP(A1849,'11 - FINANCEIRA'!_xlnm.Print_Area,8,FALSE)</f>
        <v>577.67499999999995</v>
      </c>
      <c r="S1848" s="249" t="str">
        <f>L1847</f>
        <v>M</v>
      </c>
      <c r="T1848" s="244"/>
      <c r="U1848" s="1124"/>
      <c r="V1848" s="662"/>
    </row>
    <row r="1849" spans="1:22" s="164" customFormat="1" hidden="1">
      <c r="A1849" s="1106" t="s">
        <v>821</v>
      </c>
      <c r="B1849" s="250"/>
      <c r="C1849" s="598"/>
      <c r="D1849" s="2481"/>
      <c r="E1849" s="2482"/>
      <c r="F1849" s="2482"/>
      <c r="G1849" s="2482"/>
      <c r="H1849" s="2482"/>
      <c r="I1849" s="2483"/>
      <c r="J1849" s="2486"/>
      <c r="K1849" s="2487"/>
      <c r="L1849" s="751"/>
      <c r="M1849" s="2727" t="s">
        <v>261</v>
      </c>
      <c r="N1849" s="2728"/>
      <c r="O1849" s="2728"/>
      <c r="P1849" s="2728"/>
      <c r="Q1849" s="2729"/>
      <c r="R1849" s="248">
        <f>R1847-R1848</f>
        <v>0</v>
      </c>
      <c r="S1849" s="249" t="str">
        <f>L1847</f>
        <v>M</v>
      </c>
      <c r="T1849" s="562"/>
      <c r="U1849" s="563"/>
      <c r="V1849" s="662"/>
    </row>
    <row r="1850" spans="1:22" s="164" customFormat="1" hidden="1">
      <c r="A1850" s="1770"/>
      <c r="B1850" s="660"/>
      <c r="D1850" s="661"/>
      <c r="E1850" s="662"/>
      <c r="F1850" s="663"/>
      <c r="G1850" s="661"/>
      <c r="I1850" s="663"/>
      <c r="K1850" s="664"/>
      <c r="L1850" s="664"/>
      <c r="N1850" s="511"/>
      <c r="O1850" s="662"/>
      <c r="Q1850" s="665"/>
      <c r="R1850" s="666"/>
      <c r="S1850" s="667"/>
      <c r="U1850" s="662"/>
      <c r="V1850" s="662"/>
    </row>
    <row r="1851" spans="1:22" s="600" customFormat="1">
      <c r="A1851" s="1106"/>
      <c r="B1851" s="295"/>
      <c r="C1851" s="254"/>
      <c r="D1851" s="256"/>
      <c r="E1851" s="256"/>
      <c r="F1851" s="256"/>
      <c r="G1851" s="256"/>
      <c r="H1851" s="256"/>
      <c r="I1851" s="256"/>
      <c r="J1851" s="258"/>
      <c r="K1851" s="258"/>
      <c r="L1851" s="1059"/>
      <c r="M1851" s="1060"/>
      <c r="N1851" s="1060"/>
      <c r="O1851" s="1060"/>
      <c r="P1851" s="1060"/>
      <c r="Q1851" s="1060"/>
      <c r="R1851" s="261"/>
      <c r="S1851" s="262"/>
      <c r="T1851" s="263"/>
      <c r="U1851" s="264"/>
      <c r="V1851" s="660"/>
    </row>
    <row r="1852" spans="1:22" s="164" customFormat="1" ht="31.5">
      <c r="A1852" s="1106"/>
      <c r="B1852" s="717">
        <f>VLOOKUP(A1863,'11 - FINANCEIRA'!_xlnm.Print_Area,2,FALSE)</f>
        <v>7030100090</v>
      </c>
      <c r="C1852" s="785" t="str">
        <f>VLOOKUP(A1863,'11 - FINANCEIRA'!_xlnm.Print_Area,3,FALSE)</f>
        <v xml:space="preserve">Ancoragem de Poste com risco de tombamento </v>
      </c>
      <c r="D1852" s="2472" t="s">
        <v>242</v>
      </c>
      <c r="E1852" s="2473"/>
      <c r="F1852" s="2473"/>
      <c r="G1852" s="2473"/>
      <c r="H1852" s="2473"/>
      <c r="I1852" s="2474"/>
      <c r="J1852" s="733" t="s">
        <v>373</v>
      </c>
      <c r="K1852" s="733"/>
      <c r="L1852" s="733" t="s">
        <v>480</v>
      </c>
      <c r="M1852" s="733" t="s">
        <v>542</v>
      </c>
      <c r="N1852" s="733"/>
      <c r="O1852" s="733" t="s">
        <v>543</v>
      </c>
      <c r="P1852" s="173" t="s">
        <v>249</v>
      </c>
      <c r="Q1852" s="716" t="s">
        <v>250</v>
      </c>
      <c r="R1852" s="734" t="s">
        <v>139</v>
      </c>
      <c r="S1852" s="733" t="s">
        <v>251</v>
      </c>
      <c r="T1852" s="733" t="s">
        <v>252</v>
      </c>
      <c r="U1852" s="735" t="s">
        <v>253</v>
      </c>
      <c r="V1852" s="662"/>
    </row>
    <row r="1853" spans="1:22" s="164" customFormat="1">
      <c r="A1853" s="1106"/>
      <c r="B1853" s="718"/>
      <c r="C1853" s="736"/>
      <c r="D1853" s="2475" t="s">
        <v>254</v>
      </c>
      <c r="E1853" s="2476"/>
      <c r="F1853" s="2477"/>
      <c r="G1853" s="2469" t="s">
        <v>255</v>
      </c>
      <c r="H1853" s="2470"/>
      <c r="I1853" s="2471"/>
      <c r="J1853" s="740"/>
      <c r="K1853" s="740"/>
      <c r="L1853" s="740"/>
      <c r="M1853" s="740"/>
      <c r="N1853" s="740"/>
      <c r="O1853" s="740"/>
      <c r="P1853" s="177" t="s">
        <v>256</v>
      </c>
      <c r="Q1853" s="740"/>
      <c r="R1853" s="741"/>
      <c r="S1853" s="740"/>
      <c r="T1853" s="740"/>
      <c r="U1853" s="742"/>
      <c r="V1853" s="662"/>
    </row>
    <row r="1854" spans="1:22" s="40" customFormat="1" ht="20.25">
      <c r="A1854" s="1110"/>
      <c r="B1854" s="336"/>
      <c r="C1854" s="835" t="s">
        <v>898</v>
      </c>
      <c r="D1854" s="623">
        <v>10</v>
      </c>
      <c r="E1854" s="861" t="s">
        <v>299</v>
      </c>
      <c r="F1854" s="625">
        <v>0</v>
      </c>
      <c r="G1854" s="623">
        <v>10</v>
      </c>
      <c r="H1854" s="861" t="s">
        <v>299</v>
      </c>
      <c r="I1854" s="625">
        <v>0</v>
      </c>
      <c r="J1854" s="509"/>
      <c r="K1854" s="509"/>
      <c r="L1854" s="509"/>
      <c r="M1854" s="509"/>
      <c r="N1854" s="509"/>
      <c r="O1854" s="509"/>
      <c r="P1854" s="536"/>
      <c r="Q1854" s="509"/>
      <c r="R1854" s="537">
        <v>1</v>
      </c>
      <c r="S1854" s="558" t="s">
        <v>251</v>
      </c>
      <c r="T1854" s="347">
        <v>22</v>
      </c>
      <c r="U1854" s="848"/>
    </row>
    <row r="1855" spans="1:22" s="40" customFormat="1" ht="20.25">
      <c r="A1855" s="1110"/>
      <c r="B1855" s="296"/>
      <c r="C1855" s="820" t="s">
        <v>899</v>
      </c>
      <c r="D1855" s="623">
        <v>20</v>
      </c>
      <c r="E1855" s="861" t="s">
        <v>299</v>
      </c>
      <c r="F1855" s="625">
        <v>10</v>
      </c>
      <c r="G1855" s="623">
        <v>20</v>
      </c>
      <c r="H1855" s="861" t="s">
        <v>299</v>
      </c>
      <c r="I1855" s="625">
        <v>10</v>
      </c>
      <c r="J1855" s="509"/>
      <c r="K1855" s="509"/>
      <c r="L1855" s="509"/>
      <c r="M1855" s="509"/>
      <c r="N1855" s="509"/>
      <c r="O1855" s="509"/>
      <c r="P1855" s="536"/>
      <c r="Q1855" s="509"/>
      <c r="R1855" s="537">
        <v>1</v>
      </c>
      <c r="S1855" s="558" t="s">
        <v>251</v>
      </c>
      <c r="T1855" s="347">
        <v>22</v>
      </c>
      <c r="U1855" s="1411"/>
    </row>
    <row r="1856" spans="1:22" ht="20.25">
      <c r="A1856" s="1110"/>
      <c r="B1856" s="296"/>
      <c r="C1856" s="820" t="s">
        <v>900</v>
      </c>
      <c r="D1856" s="623">
        <v>25</v>
      </c>
      <c r="E1856" s="861" t="s">
        <v>299</v>
      </c>
      <c r="F1856" s="625">
        <v>0</v>
      </c>
      <c r="G1856" s="623">
        <v>25</v>
      </c>
      <c r="H1856" s="861" t="s">
        <v>299</v>
      </c>
      <c r="I1856" s="625">
        <v>0</v>
      </c>
      <c r="J1856" s="509"/>
      <c r="K1856" s="509"/>
      <c r="L1856" s="509"/>
      <c r="M1856" s="509"/>
      <c r="N1856" s="509"/>
      <c r="O1856" s="509"/>
      <c r="P1856" s="536"/>
      <c r="Q1856" s="509"/>
      <c r="R1856" s="537">
        <v>1</v>
      </c>
      <c r="S1856" s="558" t="s">
        <v>251</v>
      </c>
      <c r="T1856" s="347">
        <v>22</v>
      </c>
      <c r="U1856" s="1411"/>
      <c r="V1856" s="842"/>
    </row>
    <row r="1857" spans="1:22" ht="20.25">
      <c r="A1857" s="1110"/>
      <c r="B1857" s="296"/>
      <c r="C1857" s="820" t="s">
        <v>900</v>
      </c>
      <c r="D1857" s="623">
        <v>39</v>
      </c>
      <c r="E1857" s="861" t="s">
        <v>299</v>
      </c>
      <c r="F1857" s="625">
        <v>7</v>
      </c>
      <c r="G1857" s="623"/>
      <c r="H1857" s="861"/>
      <c r="I1857" s="625"/>
      <c r="J1857" s="509"/>
      <c r="K1857" s="509"/>
      <c r="L1857" s="509"/>
      <c r="M1857" s="509"/>
      <c r="N1857" s="509"/>
      <c r="O1857" s="509"/>
      <c r="P1857" s="536"/>
      <c r="Q1857" s="509"/>
      <c r="R1857" s="537">
        <v>1</v>
      </c>
      <c r="S1857" s="558" t="s">
        <v>251</v>
      </c>
      <c r="T1857" s="347">
        <v>25</v>
      </c>
      <c r="U1857" s="1411"/>
      <c r="V1857" s="842"/>
    </row>
    <row r="1858" spans="1:22" ht="20.25">
      <c r="A1858" s="1110"/>
      <c r="B1858" s="296"/>
      <c r="C1858" s="820" t="s">
        <v>900</v>
      </c>
      <c r="D1858" s="623">
        <v>37</v>
      </c>
      <c r="E1858" s="861" t="s">
        <v>299</v>
      </c>
      <c r="F1858" s="625">
        <v>18</v>
      </c>
      <c r="G1858" s="623"/>
      <c r="H1858" s="861"/>
      <c r="I1858" s="625"/>
      <c r="J1858" s="509"/>
      <c r="K1858" s="509"/>
      <c r="L1858" s="509"/>
      <c r="M1858" s="509"/>
      <c r="N1858" s="509"/>
      <c r="O1858" s="509"/>
      <c r="P1858" s="536"/>
      <c r="Q1858" s="509"/>
      <c r="R1858" s="537">
        <v>1</v>
      </c>
      <c r="S1858" s="558" t="s">
        <v>251</v>
      </c>
      <c r="T1858" s="347">
        <v>25</v>
      </c>
      <c r="U1858" s="1411"/>
      <c r="V1858" s="842"/>
    </row>
    <row r="1859" spans="1:22" s="687" customFormat="1" ht="20.25">
      <c r="A1859" s="1771"/>
      <c r="B1859" s="767"/>
      <c r="C1859" s="766" t="s">
        <v>900</v>
      </c>
      <c r="D1859" s="770">
        <v>43</v>
      </c>
      <c r="E1859" s="1163" t="s">
        <v>299</v>
      </c>
      <c r="F1859" s="771">
        <v>0</v>
      </c>
      <c r="G1859" s="770"/>
      <c r="H1859" s="1163"/>
      <c r="I1859" s="771"/>
      <c r="J1859" s="868"/>
      <c r="K1859" s="868"/>
      <c r="L1859" s="868"/>
      <c r="M1859" s="868"/>
      <c r="N1859" s="868"/>
      <c r="O1859" s="868"/>
      <c r="P1859" s="890"/>
      <c r="Q1859" s="868"/>
      <c r="R1859" s="891">
        <v>1</v>
      </c>
      <c r="S1859" s="553" t="s">
        <v>251</v>
      </c>
      <c r="T1859" s="441">
        <v>28</v>
      </c>
      <c r="U1859" s="1412"/>
      <c r="V1859" s="1054"/>
    </row>
    <row r="1860" spans="1:22" s="687" customFormat="1" ht="20.25">
      <c r="A1860" s="1771"/>
      <c r="B1860" s="1515"/>
      <c r="C1860" s="1014"/>
      <c r="D1860" s="1052"/>
      <c r="E1860" s="1055"/>
      <c r="F1860" s="1143"/>
      <c r="G1860" s="1056"/>
      <c r="H1860" s="1055"/>
      <c r="I1860" s="1057"/>
      <c r="J1860" s="228"/>
      <c r="K1860" s="229"/>
      <c r="L1860" s="230"/>
      <c r="M1860" s="231"/>
      <c r="N1860" s="232"/>
      <c r="O1860" s="233"/>
      <c r="P1860" s="230"/>
      <c r="Q1860" s="234"/>
      <c r="R1860" s="1399"/>
      <c r="S1860" s="1197"/>
      <c r="T1860" s="999"/>
      <c r="U1860" s="1590"/>
      <c r="V1860" s="1054"/>
    </row>
    <row r="1861" spans="1:22" s="164" customFormat="1">
      <c r="A1861" s="1106"/>
      <c r="B1861" s="609"/>
      <c r="C1861" s="1603"/>
      <c r="D1861" s="2730" t="s">
        <v>257</v>
      </c>
      <c r="E1861" s="2731"/>
      <c r="F1861" s="2731"/>
      <c r="G1861" s="2731"/>
      <c r="H1861" s="2731"/>
      <c r="I1861" s="2732"/>
      <c r="J1861" s="2490">
        <f>VLOOKUP(A1863,'11 - FINANCEIRA'!$A$16:$AE$156,30,FALSE)</f>
        <v>6</v>
      </c>
      <c r="K1861" s="2491"/>
      <c r="L1861" s="309" t="str">
        <f>VLOOKUP(A1863,'11 - FINANCEIRA'!_xlnm.Print_Area,4,FALSE)</f>
        <v>UNID</v>
      </c>
      <c r="M1861" s="2727" t="s">
        <v>258</v>
      </c>
      <c r="N1861" s="2728"/>
      <c r="O1861" s="2728"/>
      <c r="P1861" s="2728"/>
      <c r="Q1861" s="2729"/>
      <c r="R1861" s="248">
        <f>SUM(R1854:R1859)</f>
        <v>6</v>
      </c>
      <c r="S1861" s="310" t="str">
        <f>L1861</f>
        <v>UNID</v>
      </c>
      <c r="T1861" s="321"/>
      <c r="U1861" s="322"/>
      <c r="V1861" s="662"/>
    </row>
    <row r="1862" spans="1:22" s="164" customFormat="1">
      <c r="A1862" s="1106"/>
      <c r="B1862" s="1123"/>
      <c r="C1862" s="2182"/>
      <c r="D1862" s="2478" t="s">
        <v>259</v>
      </c>
      <c r="E1862" s="2479"/>
      <c r="F1862" s="2479"/>
      <c r="G1862" s="2479"/>
      <c r="H1862" s="2479"/>
      <c r="I1862" s="2480"/>
      <c r="J1862" s="2484">
        <f>R1861/J1861</f>
        <v>1</v>
      </c>
      <c r="K1862" s="2485"/>
      <c r="L1862" s="743"/>
      <c r="M1862" s="2727" t="s">
        <v>260</v>
      </c>
      <c r="N1862" s="2728"/>
      <c r="O1862" s="2728"/>
      <c r="P1862" s="2728"/>
      <c r="Q1862" s="2729"/>
      <c r="R1862" s="248">
        <f>VLOOKUP(A1863,'11 - FINANCEIRA'!_xlnm.Print_Area,8,FALSE)</f>
        <v>5</v>
      </c>
      <c r="S1862" s="249" t="str">
        <f>L1861</f>
        <v>UNID</v>
      </c>
      <c r="T1862" s="244"/>
      <c r="U1862" s="1124"/>
      <c r="V1862" s="662"/>
    </row>
    <row r="1863" spans="1:22" s="164" customFormat="1">
      <c r="A1863" s="1106" t="s">
        <v>822</v>
      </c>
      <c r="B1863" s="250"/>
      <c r="C1863" s="598"/>
      <c r="D1863" s="2481"/>
      <c r="E1863" s="2482"/>
      <c r="F1863" s="2482"/>
      <c r="G1863" s="2482"/>
      <c r="H1863" s="2482"/>
      <c r="I1863" s="2483"/>
      <c r="J1863" s="2486"/>
      <c r="K1863" s="2487"/>
      <c r="L1863" s="751"/>
      <c r="M1863" s="2727" t="s">
        <v>261</v>
      </c>
      <c r="N1863" s="2728"/>
      <c r="O1863" s="2728"/>
      <c r="P1863" s="2728"/>
      <c r="Q1863" s="2729"/>
      <c r="R1863" s="248">
        <f>R1861-R1862</f>
        <v>1</v>
      </c>
      <c r="S1863" s="249" t="str">
        <f>L1861</f>
        <v>UNID</v>
      </c>
      <c r="T1863" s="562"/>
      <c r="U1863" s="563"/>
      <c r="V1863" s="662"/>
    </row>
    <row r="1864" spans="1:22" s="164" customFormat="1">
      <c r="A1864" s="1770"/>
      <c r="B1864" s="2301"/>
      <c r="C1864" s="2302"/>
      <c r="D1864" s="2303"/>
      <c r="E1864" s="2304"/>
      <c r="F1864" s="2305"/>
      <c r="G1864" s="2303"/>
      <c r="H1864" s="2302"/>
      <c r="I1864" s="2305"/>
      <c r="J1864" s="2302"/>
      <c r="K1864" s="2306"/>
      <c r="L1864" s="2306"/>
      <c r="M1864" s="2302"/>
      <c r="N1864" s="2307"/>
      <c r="O1864" s="2304"/>
      <c r="P1864" s="2302"/>
      <c r="Q1864" s="2308"/>
      <c r="R1864" s="2309"/>
      <c r="S1864" s="2310"/>
      <c r="T1864" s="2302"/>
      <c r="U1864" s="2311"/>
      <c r="V1864" s="662"/>
    </row>
    <row r="1865" spans="1:22" s="600" customFormat="1" hidden="1">
      <c r="A1865" s="1106"/>
      <c r="B1865" s="253"/>
      <c r="C1865" s="2062"/>
      <c r="D1865" s="2064"/>
      <c r="E1865" s="2064"/>
      <c r="F1865" s="2064"/>
      <c r="G1865" s="2064"/>
      <c r="H1865" s="2064"/>
      <c r="I1865" s="2064"/>
      <c r="J1865" s="2066"/>
      <c r="K1865" s="2066"/>
      <c r="L1865" s="2168"/>
      <c r="M1865" s="2169"/>
      <c r="N1865" s="2169"/>
      <c r="O1865" s="2169"/>
      <c r="P1865" s="2169"/>
      <c r="Q1865" s="2169"/>
      <c r="R1865" s="2069"/>
      <c r="S1865" s="2070"/>
      <c r="T1865" s="562"/>
      <c r="U1865" s="563"/>
      <c r="V1865" s="660"/>
    </row>
    <row r="1866" spans="1:22" s="164" customFormat="1" ht="31.5" hidden="1">
      <c r="A1866" s="1106"/>
      <c r="B1866" s="717" t="str">
        <f>VLOOKUP(A1873,'11 - FINANCEIRA'!_xlnm.Print_Area,2,FALSE)</f>
        <v>CPU-05</v>
      </c>
      <c r="C1866" s="785" t="str">
        <f>VLOOKUP(A1873,'11 - FINANCEIRA'!_xlnm.Print_Area,3,FALSE)</f>
        <v>Caixa moldada de Junção IN-LOCO na estaca 2+14</v>
      </c>
      <c r="D1866" s="2472" t="s">
        <v>242</v>
      </c>
      <c r="E1866" s="2473"/>
      <c r="F1866" s="2473"/>
      <c r="G1866" s="2473"/>
      <c r="H1866" s="2473"/>
      <c r="I1866" s="2474"/>
      <c r="J1866" s="733" t="s">
        <v>373</v>
      </c>
      <c r="K1866" s="733" t="s">
        <v>541</v>
      </c>
      <c r="L1866" s="733" t="s">
        <v>480</v>
      </c>
      <c r="M1866" s="733" t="s">
        <v>542</v>
      </c>
      <c r="N1866" s="733"/>
      <c r="O1866" s="733" t="s">
        <v>543</v>
      </c>
      <c r="P1866" s="173" t="s">
        <v>249</v>
      </c>
      <c r="Q1866" s="716" t="s">
        <v>250</v>
      </c>
      <c r="R1866" s="734" t="s">
        <v>139</v>
      </c>
      <c r="S1866" s="733" t="s">
        <v>251</v>
      </c>
      <c r="T1866" s="733" t="s">
        <v>252</v>
      </c>
      <c r="U1866" s="735" t="s">
        <v>253</v>
      </c>
      <c r="V1866" s="662"/>
    </row>
    <row r="1867" spans="1:22" s="164" customFormat="1" hidden="1">
      <c r="A1867" s="1106"/>
      <c r="B1867" s="718"/>
      <c r="C1867" s="736"/>
      <c r="D1867" s="2475" t="s">
        <v>254</v>
      </c>
      <c r="E1867" s="2476"/>
      <c r="F1867" s="2477"/>
      <c r="G1867" s="2469" t="s">
        <v>255</v>
      </c>
      <c r="H1867" s="2470"/>
      <c r="I1867" s="2471"/>
      <c r="J1867" s="740"/>
      <c r="K1867" s="740"/>
      <c r="L1867" s="740"/>
      <c r="M1867" s="740"/>
      <c r="N1867" s="740"/>
      <c r="O1867" s="740"/>
      <c r="P1867" s="177" t="s">
        <v>256</v>
      </c>
      <c r="Q1867" s="740"/>
      <c r="R1867" s="741"/>
      <c r="S1867" s="740"/>
      <c r="T1867" s="740"/>
      <c r="U1867" s="742"/>
      <c r="V1867" s="662"/>
    </row>
    <row r="1868" spans="1:22" s="40" customFormat="1" ht="20.25" hidden="1">
      <c r="A1868" s="1110"/>
      <c r="B1868" s="336"/>
      <c r="C1868" s="1139" t="s">
        <v>834</v>
      </c>
      <c r="D1868" s="623">
        <v>2</v>
      </c>
      <c r="E1868" s="861" t="s">
        <v>299</v>
      </c>
      <c r="F1868" s="625">
        <v>14</v>
      </c>
      <c r="G1868" s="623"/>
      <c r="H1868" s="861"/>
      <c r="I1868" s="625"/>
      <c r="J1868" s="340"/>
      <c r="K1868" s="340"/>
      <c r="L1868" s="340"/>
      <c r="M1868" s="340"/>
      <c r="N1868" s="340"/>
      <c r="O1868" s="340"/>
      <c r="P1868" s="461"/>
      <c r="Q1868" s="340"/>
      <c r="R1868" s="462">
        <v>1</v>
      </c>
      <c r="S1868" s="434" t="s">
        <v>251</v>
      </c>
      <c r="T1868" s="347">
        <v>22</v>
      </c>
      <c r="U1868" s="862"/>
    </row>
    <row r="1869" spans="1:22" s="40" customFormat="1" ht="20.25" hidden="1">
      <c r="A1869" s="1110"/>
      <c r="B1869" s="296"/>
      <c r="C1869" s="820"/>
      <c r="D1869" s="623"/>
      <c r="E1869" s="861"/>
      <c r="F1869" s="625"/>
      <c r="G1869" s="623"/>
      <c r="H1869" s="861"/>
      <c r="I1869" s="625"/>
      <c r="J1869" s="340"/>
      <c r="K1869" s="340"/>
      <c r="L1869" s="340"/>
      <c r="M1869" s="340"/>
      <c r="N1869" s="340"/>
      <c r="O1869" s="340"/>
      <c r="P1869" s="461"/>
      <c r="Q1869" s="340"/>
      <c r="R1869" s="462"/>
      <c r="S1869" s="434"/>
      <c r="T1869" s="347"/>
      <c r="U1869" s="863"/>
    </row>
    <row r="1870" spans="1:22" s="164" customFormat="1" ht="20.25" hidden="1">
      <c r="A1870" s="1106"/>
      <c r="B1870" s="995"/>
      <c r="C1870" s="1014"/>
      <c r="D1870" s="1052"/>
      <c r="E1870" s="1055"/>
      <c r="F1870" s="1143"/>
      <c r="G1870" s="1056"/>
      <c r="H1870" s="1055"/>
      <c r="I1870" s="1057"/>
      <c r="J1870" s="228"/>
      <c r="K1870" s="229"/>
      <c r="L1870" s="230"/>
      <c r="M1870" s="231"/>
      <c r="N1870" s="232"/>
      <c r="O1870" s="233"/>
      <c r="P1870" s="230"/>
      <c r="Q1870" s="234"/>
      <c r="R1870" s="998"/>
      <c r="S1870" s="1015"/>
      <c r="T1870" s="999"/>
      <c r="U1870" s="1058"/>
      <c r="V1870" s="662"/>
    </row>
    <row r="1871" spans="1:22" s="164" customFormat="1" hidden="1">
      <c r="A1871" s="1106"/>
      <c r="B1871" s="239"/>
      <c r="C1871" s="1603"/>
      <c r="D1871" s="2730" t="s">
        <v>257</v>
      </c>
      <c r="E1871" s="2731"/>
      <c r="F1871" s="2731"/>
      <c r="G1871" s="2731"/>
      <c r="H1871" s="2731"/>
      <c r="I1871" s="2732"/>
      <c r="J1871" s="2490">
        <f>VLOOKUP(A1873,'11 - FINANCEIRA'!_xlnm.Print_Area,28,FALSE)</f>
        <v>1</v>
      </c>
      <c r="K1871" s="2491"/>
      <c r="L1871" s="309" t="str">
        <f>VLOOKUP(A1873,'11 - FINANCEIRA'!_xlnm.Print_Area,4,FALSE)</f>
        <v>UNID</v>
      </c>
      <c r="M1871" s="2727" t="s">
        <v>258</v>
      </c>
      <c r="N1871" s="2728"/>
      <c r="O1871" s="2728"/>
      <c r="P1871" s="2728"/>
      <c r="Q1871" s="2729"/>
      <c r="R1871" s="248">
        <f>SUM(R1868:R1869)</f>
        <v>1</v>
      </c>
      <c r="S1871" s="310" t="str">
        <f>L1871</f>
        <v>UNID</v>
      </c>
      <c r="T1871" s="321"/>
      <c r="U1871" s="322"/>
      <c r="V1871" s="662"/>
    </row>
    <row r="1872" spans="1:22" s="164" customFormat="1" hidden="1">
      <c r="A1872" s="1106"/>
      <c r="B1872" s="246"/>
      <c r="C1872" s="247"/>
      <c r="D1872" s="2478" t="s">
        <v>259</v>
      </c>
      <c r="E1872" s="2479"/>
      <c r="F1872" s="2479"/>
      <c r="G1872" s="2479"/>
      <c r="H1872" s="2479"/>
      <c r="I1872" s="2480"/>
      <c r="J1872" s="2484">
        <f>R1871/J1871</f>
        <v>1</v>
      </c>
      <c r="K1872" s="2485"/>
      <c r="L1872" s="743"/>
      <c r="M1872" s="2727" t="s">
        <v>260</v>
      </c>
      <c r="N1872" s="2728"/>
      <c r="O1872" s="2728"/>
      <c r="P1872" s="2728"/>
      <c r="Q1872" s="2729"/>
      <c r="R1872" s="248">
        <f>VLOOKUP(A1873,'11 - FINANCEIRA'!_xlnm.Print_Area,8,FALSE)</f>
        <v>1</v>
      </c>
      <c r="S1872" s="249" t="str">
        <f>L1871</f>
        <v>UNID</v>
      </c>
      <c r="T1872" s="244"/>
      <c r="U1872" s="245"/>
      <c r="V1872" s="662"/>
    </row>
    <row r="1873" spans="1:22" s="164" customFormat="1" hidden="1">
      <c r="A1873" s="1106" t="s">
        <v>823</v>
      </c>
      <c r="B1873" s="250"/>
      <c r="C1873" s="598"/>
      <c r="D1873" s="2481"/>
      <c r="E1873" s="2482"/>
      <c r="F1873" s="2482"/>
      <c r="G1873" s="2482"/>
      <c r="H1873" s="2482"/>
      <c r="I1873" s="2483"/>
      <c r="J1873" s="2486"/>
      <c r="K1873" s="2487"/>
      <c r="L1873" s="751"/>
      <c r="M1873" s="2727" t="s">
        <v>261</v>
      </c>
      <c r="N1873" s="2728"/>
      <c r="O1873" s="2728"/>
      <c r="P1873" s="2728"/>
      <c r="Q1873" s="2729"/>
      <c r="R1873" s="248">
        <f>R1871-R1872</f>
        <v>0</v>
      </c>
      <c r="S1873" s="249" t="str">
        <f>L1871</f>
        <v>UNID</v>
      </c>
      <c r="T1873" s="562"/>
      <c r="U1873" s="563"/>
      <c r="V1873" s="662"/>
    </row>
    <row r="1874" spans="1:22" s="600" customFormat="1" hidden="1">
      <c r="A1874" s="1106"/>
      <c r="B1874" s="295"/>
      <c r="C1874" s="254"/>
      <c r="D1874" s="256"/>
      <c r="E1874" s="256"/>
      <c r="F1874" s="256"/>
      <c r="G1874" s="256"/>
      <c r="H1874" s="256"/>
      <c r="I1874" s="256"/>
      <c r="J1874" s="258"/>
      <c r="K1874" s="258"/>
      <c r="L1874" s="1059"/>
      <c r="M1874" s="1060"/>
      <c r="N1874" s="1060"/>
      <c r="O1874" s="1060"/>
      <c r="P1874" s="1060"/>
      <c r="Q1874" s="1060"/>
      <c r="R1874" s="261"/>
      <c r="S1874" s="262"/>
      <c r="T1874" s="263"/>
      <c r="U1874" s="264"/>
      <c r="V1874" s="660"/>
    </row>
    <row r="1875" spans="1:22" s="164" customFormat="1" ht="31.5" hidden="1">
      <c r="A1875" s="1106"/>
      <c r="B1875" s="717" t="str">
        <f>VLOOKUP(A1882,'11 - FINANCEIRA'!_xlnm.Print_Area,2,FALSE)</f>
        <v>CPU-06</v>
      </c>
      <c r="C1875" s="785" t="str">
        <f>VLOOKUP(A1882,'11 - FINANCEIRA'!_xlnm.Print_Area,3,FALSE)</f>
        <v>Caixa de Interseção na estaca 9+00</v>
      </c>
      <c r="D1875" s="2472" t="s">
        <v>242</v>
      </c>
      <c r="E1875" s="2473"/>
      <c r="F1875" s="2473"/>
      <c r="G1875" s="2473"/>
      <c r="H1875" s="2473"/>
      <c r="I1875" s="2474"/>
      <c r="J1875" s="733" t="s">
        <v>373</v>
      </c>
      <c r="K1875" s="733" t="s">
        <v>541</v>
      </c>
      <c r="L1875" s="733" t="s">
        <v>480</v>
      </c>
      <c r="M1875" s="733" t="s">
        <v>542</v>
      </c>
      <c r="N1875" s="733"/>
      <c r="O1875" s="733" t="s">
        <v>543</v>
      </c>
      <c r="P1875" s="173" t="s">
        <v>249</v>
      </c>
      <c r="Q1875" s="716" t="s">
        <v>250</v>
      </c>
      <c r="R1875" s="734" t="s">
        <v>139</v>
      </c>
      <c r="S1875" s="733" t="s">
        <v>251</v>
      </c>
      <c r="T1875" s="733" t="s">
        <v>252</v>
      </c>
      <c r="U1875" s="735" t="s">
        <v>253</v>
      </c>
      <c r="V1875" s="662"/>
    </row>
    <row r="1876" spans="1:22" s="164" customFormat="1" hidden="1">
      <c r="A1876" s="1106"/>
      <c r="B1876" s="718"/>
      <c r="C1876" s="736"/>
      <c r="D1876" s="2475" t="s">
        <v>254</v>
      </c>
      <c r="E1876" s="2476"/>
      <c r="F1876" s="2477"/>
      <c r="G1876" s="2469" t="s">
        <v>255</v>
      </c>
      <c r="H1876" s="2470"/>
      <c r="I1876" s="2471"/>
      <c r="J1876" s="740"/>
      <c r="K1876" s="740"/>
      <c r="L1876" s="740"/>
      <c r="M1876" s="740"/>
      <c r="N1876" s="740"/>
      <c r="O1876" s="740"/>
      <c r="P1876" s="177" t="s">
        <v>256</v>
      </c>
      <c r="Q1876" s="740"/>
      <c r="R1876" s="741"/>
      <c r="S1876" s="740"/>
      <c r="T1876" s="740"/>
      <c r="U1876" s="742"/>
      <c r="V1876" s="662"/>
    </row>
    <row r="1877" spans="1:22" s="40" customFormat="1" ht="20.25" hidden="1">
      <c r="A1877" s="1110"/>
      <c r="B1877" s="336"/>
      <c r="C1877" s="831" t="s">
        <v>836</v>
      </c>
      <c r="D1877" s="623">
        <v>9</v>
      </c>
      <c r="E1877" s="861" t="s">
        <v>299</v>
      </c>
      <c r="F1877" s="625">
        <v>0</v>
      </c>
      <c r="G1877" s="623"/>
      <c r="H1877" s="861"/>
      <c r="I1877" s="625"/>
      <c r="J1877" s="340"/>
      <c r="K1877" s="340"/>
      <c r="L1877" s="340">
        <v>0.7</v>
      </c>
      <c r="M1877" s="340"/>
      <c r="N1877" s="340">
        <v>0</v>
      </c>
      <c r="O1877" s="340"/>
      <c r="P1877" s="461"/>
      <c r="Q1877" s="340"/>
      <c r="R1877" s="462">
        <v>1</v>
      </c>
      <c r="S1877" s="434" t="s">
        <v>251</v>
      </c>
      <c r="T1877" s="347">
        <v>22</v>
      </c>
      <c r="U1877" s="862"/>
    </row>
    <row r="1878" spans="1:22" s="40" customFormat="1" ht="20.25" hidden="1">
      <c r="A1878" s="1110"/>
      <c r="B1878" s="296"/>
      <c r="C1878" s="820"/>
      <c r="D1878" s="623"/>
      <c r="E1878" s="861"/>
      <c r="F1878" s="625"/>
      <c r="G1878" s="623"/>
      <c r="H1878" s="861"/>
      <c r="I1878" s="625"/>
      <c r="J1878" s="340"/>
      <c r="K1878" s="340"/>
      <c r="L1878" s="340"/>
      <c r="M1878" s="340"/>
      <c r="N1878" s="340"/>
      <c r="O1878" s="340"/>
      <c r="P1878" s="461"/>
      <c r="Q1878" s="340"/>
      <c r="R1878" s="462"/>
      <c r="S1878" s="434"/>
      <c r="T1878" s="347"/>
      <c r="U1878" s="863"/>
    </row>
    <row r="1879" spans="1:22" s="164" customFormat="1" ht="20.25" hidden="1">
      <c r="A1879" s="1106"/>
      <c r="B1879" s="995"/>
      <c r="C1879" s="1014"/>
      <c r="D1879" s="1052"/>
      <c r="E1879" s="1055"/>
      <c r="F1879" s="1143"/>
      <c r="G1879" s="1056"/>
      <c r="H1879" s="1055"/>
      <c r="I1879" s="1057"/>
      <c r="J1879" s="228"/>
      <c r="K1879" s="229"/>
      <c r="L1879" s="230"/>
      <c r="M1879" s="231"/>
      <c r="N1879" s="232"/>
      <c r="O1879" s="233"/>
      <c r="P1879" s="230"/>
      <c r="Q1879" s="234"/>
      <c r="R1879" s="462"/>
      <c r="S1879" s="1015"/>
      <c r="T1879" s="999"/>
      <c r="U1879" s="1058"/>
      <c r="V1879" s="662"/>
    </row>
    <row r="1880" spans="1:22" s="164" customFormat="1" hidden="1">
      <c r="A1880" s="1106"/>
      <c r="B1880" s="239"/>
      <c r="C1880" s="1603"/>
      <c r="D1880" s="2730" t="s">
        <v>257</v>
      </c>
      <c r="E1880" s="2731"/>
      <c r="F1880" s="2731"/>
      <c r="G1880" s="2731"/>
      <c r="H1880" s="2731"/>
      <c r="I1880" s="2732"/>
      <c r="J1880" s="2490">
        <f>VLOOKUP(A1882,'11 - FINANCEIRA'!_xlnm.Print_Area,28,FALSE)</f>
        <v>1</v>
      </c>
      <c r="K1880" s="2491"/>
      <c r="L1880" s="309" t="str">
        <f>VLOOKUP(A1882,'11 - FINANCEIRA'!_xlnm.Print_Area,4,FALSE)</f>
        <v>UNID</v>
      </c>
      <c r="M1880" s="2727" t="s">
        <v>258</v>
      </c>
      <c r="N1880" s="2728"/>
      <c r="O1880" s="2728"/>
      <c r="P1880" s="2728"/>
      <c r="Q1880" s="2729"/>
      <c r="R1880" s="248">
        <f>SUM(R1877:R1878)</f>
        <v>1</v>
      </c>
      <c r="S1880" s="310" t="str">
        <f>L1880</f>
        <v>UNID</v>
      </c>
      <c r="T1880" s="321"/>
      <c r="U1880" s="322"/>
      <c r="V1880" s="662"/>
    </row>
    <row r="1881" spans="1:22" s="164" customFormat="1" hidden="1">
      <c r="A1881" s="1106"/>
      <c r="B1881" s="246"/>
      <c r="C1881" s="247"/>
      <c r="D1881" s="2478" t="s">
        <v>259</v>
      </c>
      <c r="E1881" s="2479"/>
      <c r="F1881" s="2479"/>
      <c r="G1881" s="2479"/>
      <c r="H1881" s="2479"/>
      <c r="I1881" s="2480"/>
      <c r="J1881" s="2484">
        <f>R1880/J1880</f>
        <v>1</v>
      </c>
      <c r="K1881" s="2485"/>
      <c r="L1881" s="743"/>
      <c r="M1881" s="2727" t="s">
        <v>260</v>
      </c>
      <c r="N1881" s="2728"/>
      <c r="O1881" s="2728"/>
      <c r="P1881" s="2728"/>
      <c r="Q1881" s="2729"/>
      <c r="R1881" s="248">
        <f>VLOOKUP(A1882,'11 - FINANCEIRA'!_xlnm.Print_Area,8,FALSE)</f>
        <v>1</v>
      </c>
      <c r="S1881" s="249" t="str">
        <f>L1880</f>
        <v>UNID</v>
      </c>
      <c r="T1881" s="244"/>
      <c r="U1881" s="245"/>
      <c r="V1881" s="662"/>
    </row>
    <row r="1882" spans="1:22" s="164" customFormat="1" hidden="1">
      <c r="A1882" s="1106" t="s">
        <v>824</v>
      </c>
      <c r="B1882" s="250"/>
      <c r="C1882" s="598"/>
      <c r="D1882" s="2481"/>
      <c r="E1882" s="2482"/>
      <c r="F1882" s="2482"/>
      <c r="G1882" s="2482"/>
      <c r="H1882" s="2482"/>
      <c r="I1882" s="2483"/>
      <c r="J1882" s="2486"/>
      <c r="K1882" s="2487"/>
      <c r="L1882" s="751"/>
      <c r="M1882" s="2727" t="s">
        <v>261</v>
      </c>
      <c r="N1882" s="2728"/>
      <c r="O1882" s="2728"/>
      <c r="P1882" s="2728"/>
      <c r="Q1882" s="2729"/>
      <c r="R1882" s="248">
        <f>R1880-R1881</f>
        <v>0</v>
      </c>
      <c r="S1882" s="249" t="str">
        <f>L1880</f>
        <v>UNID</v>
      </c>
      <c r="T1882" s="562"/>
      <c r="U1882" s="563"/>
      <c r="V1882" s="662"/>
    </row>
    <row r="1883" spans="1:22" s="600" customFormat="1" hidden="1">
      <c r="A1883" s="1106"/>
      <c r="B1883" s="295"/>
      <c r="C1883" s="254"/>
      <c r="D1883" s="256"/>
      <c r="E1883" s="256"/>
      <c r="F1883" s="256"/>
      <c r="G1883" s="256"/>
      <c r="H1883" s="256"/>
      <c r="I1883" s="256"/>
      <c r="J1883" s="258"/>
      <c r="K1883" s="258"/>
      <c r="L1883" s="1059"/>
      <c r="M1883" s="1060"/>
      <c r="N1883" s="1060"/>
      <c r="O1883" s="1060"/>
      <c r="P1883" s="1060"/>
      <c r="Q1883" s="1060"/>
      <c r="R1883" s="261"/>
      <c r="S1883" s="262"/>
      <c r="T1883" s="263"/>
      <c r="U1883" s="264"/>
      <c r="V1883" s="660"/>
    </row>
    <row r="1884" spans="1:22" s="164" customFormat="1" ht="31.5" hidden="1">
      <c r="A1884" s="1106"/>
      <c r="B1884" s="717">
        <f>VLOOKUP(A1894,'11 - FINANCEIRA'!_xlnm.Print_Area,2,FALSE)</f>
        <v>40893</v>
      </c>
      <c r="C1884" s="785" t="str">
        <f>VLOOKUP(A1894,'11 - FINANCEIRA'!_xlnm.Print_Area,3,FALSE)</f>
        <v>Remoção de meio Fio</v>
      </c>
      <c r="D1884" s="2472" t="s">
        <v>242</v>
      </c>
      <c r="E1884" s="2473"/>
      <c r="F1884" s="2473"/>
      <c r="G1884" s="2473"/>
      <c r="H1884" s="2473"/>
      <c r="I1884" s="2474"/>
      <c r="J1884" s="733" t="s">
        <v>373</v>
      </c>
      <c r="K1884" s="733" t="s">
        <v>1019</v>
      </c>
      <c r="L1884" s="733" t="s">
        <v>480</v>
      </c>
      <c r="M1884" s="733" t="s">
        <v>542</v>
      </c>
      <c r="N1884" s="733"/>
      <c r="O1884" s="733" t="s">
        <v>543</v>
      </c>
      <c r="P1884" s="173" t="s">
        <v>249</v>
      </c>
      <c r="Q1884" s="716" t="s">
        <v>1020</v>
      </c>
      <c r="R1884" s="734" t="s">
        <v>139</v>
      </c>
      <c r="S1884" s="733" t="s">
        <v>251</v>
      </c>
      <c r="T1884" s="733" t="s">
        <v>252</v>
      </c>
      <c r="U1884" s="735" t="s">
        <v>253</v>
      </c>
      <c r="V1884" s="662"/>
    </row>
    <row r="1885" spans="1:22" s="164" customFormat="1" hidden="1">
      <c r="A1885" s="1106"/>
      <c r="B1885" s="718"/>
      <c r="C1885" s="736"/>
      <c r="D1885" s="2475" t="s">
        <v>254</v>
      </c>
      <c r="E1885" s="2476"/>
      <c r="F1885" s="2477"/>
      <c r="G1885" s="2469" t="s">
        <v>255</v>
      </c>
      <c r="H1885" s="2470"/>
      <c r="I1885" s="2471"/>
      <c r="J1885" s="740"/>
      <c r="K1885" s="740"/>
      <c r="L1885" s="740"/>
      <c r="M1885" s="740"/>
      <c r="N1885" s="740"/>
      <c r="O1885" s="740"/>
      <c r="P1885" s="177" t="s">
        <v>256</v>
      </c>
      <c r="Q1885" s="740"/>
      <c r="R1885" s="741"/>
      <c r="S1885" s="740"/>
      <c r="T1885" s="740"/>
      <c r="U1885" s="742"/>
      <c r="V1885" s="662"/>
    </row>
    <row r="1886" spans="1:22" s="40" customFormat="1" ht="20.25" hidden="1">
      <c r="A1886" s="1110"/>
      <c r="B1886" s="336"/>
      <c r="C1886" s="1138" t="s">
        <v>837</v>
      </c>
      <c r="D1886" s="623">
        <v>11</v>
      </c>
      <c r="E1886" s="861" t="s">
        <v>299</v>
      </c>
      <c r="F1886" s="625">
        <v>10</v>
      </c>
      <c r="G1886" s="623">
        <v>25</v>
      </c>
      <c r="H1886" s="861" t="s">
        <v>299</v>
      </c>
      <c r="I1886" s="625">
        <v>0</v>
      </c>
      <c r="J1886" s="340">
        <v>104</v>
      </c>
      <c r="K1886" s="434">
        <v>1</v>
      </c>
      <c r="L1886" s="340"/>
      <c r="M1886" s="340"/>
      <c r="N1886" s="340"/>
      <c r="O1886" s="340"/>
      <c r="P1886" s="461"/>
      <c r="Q1886" s="340">
        <v>2</v>
      </c>
      <c r="R1886" s="462">
        <v>26</v>
      </c>
      <c r="S1886" s="434" t="s">
        <v>251</v>
      </c>
      <c r="T1886" s="276">
        <v>22</v>
      </c>
      <c r="U1886" s="848"/>
    </row>
    <row r="1887" spans="1:22" s="40" customFormat="1" ht="20.25" hidden="1">
      <c r="A1887" s="1110"/>
      <c r="B1887" s="296"/>
      <c r="C1887" s="1138" t="s">
        <v>837</v>
      </c>
      <c r="D1887" s="623">
        <f>D1908</f>
        <v>35</v>
      </c>
      <c r="E1887" s="624" t="str">
        <f t="shared" ref="E1887:I1887" si="246">E1908</f>
        <v>+</v>
      </c>
      <c r="F1887" s="625">
        <f t="shared" si="246"/>
        <v>14</v>
      </c>
      <c r="G1887" s="623">
        <f t="shared" si="246"/>
        <v>39</v>
      </c>
      <c r="H1887" s="624" t="str">
        <f t="shared" si="246"/>
        <v>+</v>
      </c>
      <c r="I1887" s="625">
        <f t="shared" si="246"/>
        <v>16</v>
      </c>
      <c r="J1887" s="340">
        <f>(G1887-D1887)*20+I1887-F1887</f>
        <v>82</v>
      </c>
      <c r="K1887" s="434"/>
      <c r="L1887" s="340"/>
      <c r="M1887" s="340"/>
      <c r="N1887" s="340"/>
      <c r="O1887" s="340"/>
      <c r="P1887" s="461"/>
      <c r="Q1887" s="340">
        <v>2</v>
      </c>
      <c r="R1887" s="462">
        <f>J1887*Q1887</f>
        <v>164</v>
      </c>
      <c r="S1887" s="434" t="s">
        <v>251</v>
      </c>
      <c r="T1887" s="347">
        <v>25</v>
      </c>
      <c r="U1887" s="1411"/>
    </row>
    <row r="1888" spans="1:22" s="40" customFormat="1" ht="20.25" hidden="1">
      <c r="A1888" s="1110"/>
      <c r="B1888" s="296"/>
      <c r="C1888" s="1138" t="s">
        <v>837</v>
      </c>
      <c r="D1888" s="623">
        <f t="shared" ref="D1888:I1889" si="247">D316</f>
        <v>31</v>
      </c>
      <c r="E1888" s="624" t="str">
        <f t="shared" si="247"/>
        <v>+</v>
      </c>
      <c r="F1888" s="625">
        <f t="shared" si="247"/>
        <v>12</v>
      </c>
      <c r="G1888" s="623">
        <f t="shared" si="247"/>
        <v>35</v>
      </c>
      <c r="H1888" s="624" t="str">
        <f t="shared" si="247"/>
        <v>+</v>
      </c>
      <c r="I1888" s="625">
        <f t="shared" si="247"/>
        <v>14</v>
      </c>
      <c r="J1888" s="340">
        <f>(G1888-D1888)*20+I1888-F1888</f>
        <v>82</v>
      </c>
      <c r="K1888" s="434"/>
      <c r="L1888" s="340"/>
      <c r="M1888" s="340"/>
      <c r="N1888" s="340"/>
      <c r="O1888" s="340"/>
      <c r="P1888" s="461"/>
      <c r="Q1888" s="340">
        <v>2</v>
      </c>
      <c r="R1888" s="462">
        <f>J1888*Q1888</f>
        <v>164</v>
      </c>
      <c r="S1888" s="434" t="s">
        <v>251</v>
      </c>
      <c r="T1888" s="347">
        <v>26</v>
      </c>
      <c r="U1888" s="1411"/>
    </row>
    <row r="1889" spans="1:22" s="40" customFormat="1" ht="20.25" hidden="1">
      <c r="A1889" s="1110"/>
      <c r="B1889" s="296"/>
      <c r="C1889" s="1138" t="s">
        <v>837</v>
      </c>
      <c r="D1889" s="623">
        <f t="shared" si="247"/>
        <v>39</v>
      </c>
      <c r="E1889" s="624" t="str">
        <f t="shared" si="247"/>
        <v>+</v>
      </c>
      <c r="F1889" s="625">
        <f t="shared" si="247"/>
        <v>16</v>
      </c>
      <c r="G1889" s="623">
        <f t="shared" si="247"/>
        <v>41</v>
      </c>
      <c r="H1889" s="624" t="str">
        <f t="shared" si="247"/>
        <v>+</v>
      </c>
      <c r="I1889" s="625">
        <f t="shared" si="247"/>
        <v>16</v>
      </c>
      <c r="J1889" s="340">
        <f>(G1889-D1889)*20+I1889-F1889</f>
        <v>40</v>
      </c>
      <c r="K1889" s="434"/>
      <c r="L1889" s="340"/>
      <c r="M1889" s="340"/>
      <c r="N1889" s="340"/>
      <c r="O1889" s="340"/>
      <c r="P1889" s="461"/>
      <c r="Q1889" s="340">
        <v>2</v>
      </c>
      <c r="R1889" s="462">
        <f>J1889*Q1889</f>
        <v>80</v>
      </c>
      <c r="S1889" s="434" t="s">
        <v>251</v>
      </c>
      <c r="T1889" s="347">
        <v>26</v>
      </c>
      <c r="U1889" s="1411"/>
    </row>
    <row r="1890" spans="1:22" s="40" customFormat="1" ht="20.25" hidden="1">
      <c r="A1890" s="1110"/>
      <c r="B1890" s="296"/>
      <c r="C1890" s="1138" t="s">
        <v>837</v>
      </c>
      <c r="D1890" s="623">
        <f>D318</f>
        <v>41</v>
      </c>
      <c r="E1890" s="624" t="str">
        <f>E318</f>
        <v>+</v>
      </c>
      <c r="F1890" s="625">
        <f>F318</f>
        <v>16</v>
      </c>
      <c r="G1890" s="623">
        <v>43</v>
      </c>
      <c r="H1890" s="624" t="str">
        <f>H318</f>
        <v>+</v>
      </c>
      <c r="I1890" s="625">
        <v>12</v>
      </c>
      <c r="J1890" s="340">
        <f>(G1890-D1890)*20+I1890-F1890</f>
        <v>36</v>
      </c>
      <c r="K1890" s="434"/>
      <c r="L1890" s="340"/>
      <c r="M1890" s="340"/>
      <c r="N1890" s="340"/>
      <c r="O1890" s="340"/>
      <c r="P1890" s="461"/>
      <c r="Q1890" s="340">
        <v>2</v>
      </c>
      <c r="R1890" s="462">
        <f>J1890*Q1890</f>
        <v>72</v>
      </c>
      <c r="S1890" s="434" t="s">
        <v>251</v>
      </c>
      <c r="T1890" s="347">
        <v>27</v>
      </c>
      <c r="U1890" s="1411"/>
    </row>
    <row r="1891" spans="1:22" s="40" customFormat="1" ht="20.25" hidden="1">
      <c r="A1891" s="1110"/>
      <c r="B1891" s="1126"/>
      <c r="C1891" s="1594"/>
      <c r="D1891" s="821"/>
      <c r="E1891" s="1184"/>
      <c r="F1891" s="1143"/>
      <c r="G1891" s="1218"/>
      <c r="H1891" s="1184"/>
      <c r="I1891" s="823"/>
      <c r="J1891" s="228"/>
      <c r="K1891" s="229"/>
      <c r="L1891" s="230"/>
      <c r="M1891" s="231"/>
      <c r="N1891" s="232"/>
      <c r="O1891" s="233"/>
      <c r="P1891" s="230"/>
      <c r="Q1891" s="234"/>
      <c r="R1891" s="462"/>
      <c r="S1891" s="1235"/>
      <c r="T1891" s="1028"/>
      <c r="U1891" s="1595"/>
    </row>
    <row r="1892" spans="1:22" s="164" customFormat="1" hidden="1">
      <c r="A1892" s="1106"/>
      <c r="B1892" s="239"/>
      <c r="C1892" s="1603"/>
      <c r="D1892" s="2730" t="s">
        <v>257</v>
      </c>
      <c r="E1892" s="2731"/>
      <c r="F1892" s="2731"/>
      <c r="G1892" s="2731"/>
      <c r="H1892" s="2731"/>
      <c r="I1892" s="2732"/>
      <c r="J1892" s="2490">
        <f>VLOOKUP(A1894,'11 - FINANCEIRA'!$A$16:$AE$156,30,FALSE)</f>
        <v>506</v>
      </c>
      <c r="K1892" s="2491"/>
      <c r="L1892" s="309" t="str">
        <f>VLOOKUP(A1894,'11 - FINANCEIRA'!_xlnm.Print_Area,4,FALSE)</f>
        <v>UNID</v>
      </c>
      <c r="M1892" s="2727" t="s">
        <v>258</v>
      </c>
      <c r="N1892" s="2728"/>
      <c r="O1892" s="2728"/>
      <c r="P1892" s="2728"/>
      <c r="Q1892" s="2729"/>
      <c r="R1892" s="248">
        <f>SUM(R1886:R1890)</f>
        <v>506</v>
      </c>
      <c r="S1892" s="310" t="str">
        <f>L1892</f>
        <v>UNID</v>
      </c>
      <c r="T1892" s="321"/>
      <c r="U1892" s="322"/>
      <c r="V1892" s="662"/>
    </row>
    <row r="1893" spans="1:22" s="164" customFormat="1" hidden="1">
      <c r="A1893" s="1106"/>
      <c r="B1893" s="246"/>
      <c r="C1893" s="247"/>
      <c r="D1893" s="2478" t="s">
        <v>259</v>
      </c>
      <c r="E1893" s="2479"/>
      <c r="F1893" s="2479"/>
      <c r="G1893" s="2479"/>
      <c r="H1893" s="2479"/>
      <c r="I1893" s="2480"/>
      <c r="J1893" s="2484">
        <f>R1892/J1892</f>
        <v>1</v>
      </c>
      <c r="K1893" s="2485"/>
      <c r="L1893" s="743"/>
      <c r="M1893" s="2727" t="s">
        <v>260</v>
      </c>
      <c r="N1893" s="2728"/>
      <c r="O1893" s="2728"/>
      <c r="P1893" s="2728"/>
      <c r="Q1893" s="2729"/>
      <c r="R1893" s="248">
        <f>VLOOKUP(A1894,'11 - FINANCEIRA'!_xlnm.Print_Area,8,FALSE)</f>
        <v>506</v>
      </c>
      <c r="S1893" s="249" t="str">
        <f>L1892</f>
        <v>UNID</v>
      </c>
      <c r="T1893" s="244"/>
      <c r="U1893" s="1124"/>
      <c r="V1893" s="662"/>
    </row>
    <row r="1894" spans="1:22" s="164" customFormat="1" hidden="1">
      <c r="A1894" s="1106" t="s">
        <v>825</v>
      </c>
      <c r="B1894" s="250"/>
      <c r="C1894" s="598"/>
      <c r="D1894" s="2481"/>
      <c r="E1894" s="2482"/>
      <c r="F1894" s="2482"/>
      <c r="G1894" s="2482"/>
      <c r="H1894" s="2482"/>
      <c r="I1894" s="2483"/>
      <c r="J1894" s="2486"/>
      <c r="K1894" s="2487"/>
      <c r="L1894" s="751"/>
      <c r="M1894" s="2727" t="s">
        <v>261</v>
      </c>
      <c r="N1894" s="2728"/>
      <c r="O1894" s="2728"/>
      <c r="P1894" s="2728"/>
      <c r="Q1894" s="2729"/>
      <c r="R1894" s="248">
        <f>R1892-R1893</f>
        <v>0</v>
      </c>
      <c r="S1894" s="249" t="str">
        <f>L1892</f>
        <v>UNID</v>
      </c>
      <c r="T1894" s="562"/>
      <c r="U1894" s="563"/>
      <c r="V1894" s="662"/>
    </row>
    <row r="1895" spans="1:22" s="600" customFormat="1" hidden="1">
      <c r="A1895" s="1106"/>
      <c r="B1895" s="295"/>
      <c r="C1895" s="254"/>
      <c r="D1895" s="256"/>
      <c r="E1895" s="256"/>
      <c r="F1895" s="256"/>
      <c r="G1895" s="256"/>
      <c r="H1895" s="256"/>
      <c r="I1895" s="256"/>
      <c r="J1895" s="258"/>
      <c r="K1895" s="258"/>
      <c r="L1895" s="1059"/>
      <c r="M1895" s="1060"/>
      <c r="N1895" s="1060"/>
      <c r="O1895" s="1060"/>
      <c r="P1895" s="1060"/>
      <c r="Q1895" s="1060"/>
      <c r="R1895" s="261"/>
      <c r="S1895" s="262"/>
      <c r="T1895" s="263"/>
      <c r="U1895" s="264"/>
      <c r="V1895" s="660"/>
    </row>
    <row r="1896" spans="1:22" s="164" customFormat="1" ht="31.5" hidden="1">
      <c r="A1896" s="1106"/>
      <c r="B1896" s="717">
        <f>VLOOKUP(A1903,'11 - FINANCEIRA'!_xlnm.Print_Area,2,FALSE)</f>
        <v>37478</v>
      </c>
      <c r="C1896" s="785" t="str">
        <f>VLOOKUP(A1903,'11 - FINANCEIRA'!_xlnm.Print_Area,3,FALSE)</f>
        <v>Corpo de BSCC 2,00 x 2,00 m</v>
      </c>
      <c r="D1896" s="2472" t="s">
        <v>242</v>
      </c>
      <c r="E1896" s="2473"/>
      <c r="F1896" s="2473"/>
      <c r="G1896" s="2473"/>
      <c r="H1896" s="2473"/>
      <c r="I1896" s="2474"/>
      <c r="J1896" s="733" t="s">
        <v>373</v>
      </c>
      <c r="K1896" s="733" t="s">
        <v>541</v>
      </c>
      <c r="L1896" s="733" t="s">
        <v>480</v>
      </c>
      <c r="M1896" s="733" t="s">
        <v>542</v>
      </c>
      <c r="N1896" s="733"/>
      <c r="O1896" s="733" t="s">
        <v>543</v>
      </c>
      <c r="P1896" s="173" t="s">
        <v>249</v>
      </c>
      <c r="Q1896" s="716" t="s">
        <v>250</v>
      </c>
      <c r="R1896" s="734" t="s">
        <v>139</v>
      </c>
      <c r="S1896" s="733" t="s">
        <v>251</v>
      </c>
      <c r="T1896" s="733" t="s">
        <v>252</v>
      </c>
      <c r="U1896" s="735" t="s">
        <v>253</v>
      </c>
      <c r="V1896" s="662"/>
    </row>
    <row r="1897" spans="1:22" s="164" customFormat="1" hidden="1">
      <c r="A1897" s="1106"/>
      <c r="B1897" s="718"/>
      <c r="C1897" s="736"/>
      <c r="D1897" s="2475" t="s">
        <v>254</v>
      </c>
      <c r="E1897" s="2476"/>
      <c r="F1897" s="2477"/>
      <c r="G1897" s="737" t="s">
        <v>255</v>
      </c>
      <c r="H1897" s="738"/>
      <c r="I1897" s="739"/>
      <c r="J1897" s="740"/>
      <c r="K1897" s="740"/>
      <c r="L1897" s="740"/>
      <c r="M1897" s="740"/>
      <c r="N1897" s="740"/>
      <c r="O1897" s="740"/>
      <c r="P1897" s="177" t="s">
        <v>256</v>
      </c>
      <c r="Q1897" s="740"/>
      <c r="R1897" s="741"/>
      <c r="S1897" s="740"/>
      <c r="T1897" s="740"/>
      <c r="U1897" s="742"/>
      <c r="V1897" s="662"/>
    </row>
    <row r="1898" spans="1:22" s="40" customFormat="1" ht="20.25" hidden="1">
      <c r="A1898" s="1110"/>
      <c r="B1898" s="178"/>
      <c r="C1898" s="1356" t="s">
        <v>838</v>
      </c>
      <c r="D1898" s="1357">
        <v>25</v>
      </c>
      <c r="E1898" s="1358" t="s">
        <v>299</v>
      </c>
      <c r="F1898" s="1359">
        <v>16</v>
      </c>
      <c r="G1898" s="1357">
        <v>31</v>
      </c>
      <c r="H1898" s="1358" t="s">
        <v>299</v>
      </c>
      <c r="I1898" s="1359">
        <v>12</v>
      </c>
      <c r="J1898" s="273">
        <f>(G1898-D1898)*20+I1898-F1898</f>
        <v>116</v>
      </c>
      <c r="K1898" s="273"/>
      <c r="L1898" s="273"/>
      <c r="M1898" s="273"/>
      <c r="N1898" s="273"/>
      <c r="O1898" s="273"/>
      <c r="P1898" s="274"/>
      <c r="Q1898" s="273"/>
      <c r="R1898" s="308">
        <v>116</v>
      </c>
      <c r="S1898" s="1360" t="s">
        <v>251</v>
      </c>
      <c r="T1898" s="1361">
        <v>23</v>
      </c>
      <c r="U1898" s="1362"/>
    </row>
    <row r="1899" spans="1:22" s="40" customFormat="1" ht="40.5" hidden="1">
      <c r="A1899" s="1110"/>
      <c r="B1899" s="767"/>
      <c r="C1899" s="1732" t="s">
        <v>838</v>
      </c>
      <c r="D1899" s="419">
        <v>25</v>
      </c>
      <c r="E1899" s="958" t="s">
        <v>299</v>
      </c>
      <c r="F1899" s="421">
        <v>16</v>
      </c>
      <c r="G1899" s="419">
        <v>31</v>
      </c>
      <c r="H1899" s="958" t="s">
        <v>299</v>
      </c>
      <c r="I1899" s="421">
        <v>12</v>
      </c>
      <c r="J1899" s="275">
        <f>(G1899-D1899)*20+I1899-F1899</f>
        <v>116</v>
      </c>
      <c r="K1899" s="275"/>
      <c r="L1899" s="275"/>
      <c r="M1899" s="275"/>
      <c r="N1899" s="275"/>
      <c r="O1899" s="275"/>
      <c r="P1899" s="338"/>
      <c r="Q1899" s="275"/>
      <c r="R1899" s="191">
        <v>-116</v>
      </c>
      <c r="S1899" s="489" t="s">
        <v>251</v>
      </c>
      <c r="T1899" s="276">
        <v>25</v>
      </c>
      <c r="U1899" s="1733" t="s">
        <v>1064</v>
      </c>
    </row>
    <row r="1900" spans="1:22" s="164" customFormat="1" ht="20.25" hidden="1">
      <c r="A1900" s="1106"/>
      <c r="B1900" s="1172"/>
      <c r="C1900" s="1014"/>
      <c r="D1900" s="1173"/>
      <c r="E1900" s="1217"/>
      <c r="F1900" s="1218"/>
      <c r="G1900" s="1734"/>
      <c r="H1900" s="1217"/>
      <c r="I1900" s="1197"/>
      <c r="J1900" s="228"/>
      <c r="K1900" s="229"/>
      <c r="L1900" s="230"/>
      <c r="M1900" s="231"/>
      <c r="N1900" s="232"/>
      <c r="O1900" s="233"/>
      <c r="P1900" s="230"/>
      <c r="Q1900" s="234"/>
      <c r="R1900" s="1219"/>
      <c r="S1900" s="1215"/>
      <c r="T1900" s="999"/>
      <c r="U1900" s="1058"/>
      <c r="V1900" s="662"/>
    </row>
    <row r="1901" spans="1:22" s="164" customFormat="1" hidden="1">
      <c r="A1901" s="1106"/>
      <c r="B1901" s="239"/>
      <c r="C1901" s="1603"/>
      <c r="D1901" s="2730" t="s">
        <v>257</v>
      </c>
      <c r="E1901" s="2731"/>
      <c r="F1901" s="2731"/>
      <c r="G1901" s="2731"/>
      <c r="H1901" s="2731"/>
      <c r="I1901" s="2732"/>
      <c r="J1901" s="2490">
        <f>VLOOKUP(A1903,'11 - FINANCEIRA'!$A$16:$AE$156,30,FALSE)</f>
        <v>0</v>
      </c>
      <c r="K1901" s="2491"/>
      <c r="L1901" s="309" t="str">
        <f>VLOOKUP(A1903,'11 - FINANCEIRA'!_xlnm.Print_Area,4,FALSE)</f>
        <v>UNID</v>
      </c>
      <c r="M1901" s="2727" t="s">
        <v>258</v>
      </c>
      <c r="N1901" s="2728"/>
      <c r="O1901" s="2728"/>
      <c r="P1901" s="2728"/>
      <c r="Q1901" s="2729"/>
      <c r="R1901" s="248">
        <f>SUM(R1898:R1899)</f>
        <v>0</v>
      </c>
      <c r="S1901" s="310" t="str">
        <f>L1901</f>
        <v>UNID</v>
      </c>
      <c r="T1901" s="321"/>
      <c r="U1901" s="322"/>
      <c r="V1901" s="662"/>
    </row>
    <row r="1902" spans="1:22" s="164" customFormat="1" hidden="1">
      <c r="A1902" s="1106"/>
      <c r="B1902" s="246"/>
      <c r="C1902" s="247"/>
      <c r="D1902" s="2478" t="s">
        <v>259</v>
      </c>
      <c r="E1902" s="2479"/>
      <c r="F1902" s="2479"/>
      <c r="G1902" s="2479"/>
      <c r="H1902" s="2479"/>
      <c r="I1902" s="2480"/>
      <c r="J1902" s="2484" t="e">
        <f>R1901/J1901</f>
        <v>#DIV/0!</v>
      </c>
      <c r="K1902" s="2485"/>
      <c r="L1902" s="743"/>
      <c r="M1902" s="2727" t="s">
        <v>260</v>
      </c>
      <c r="N1902" s="2728"/>
      <c r="O1902" s="2728"/>
      <c r="P1902" s="2728"/>
      <c r="Q1902" s="2729"/>
      <c r="R1902" s="248">
        <f>VLOOKUP(A1903,'11 - FINANCEIRA'!_xlnm.Print_Area,8,FALSE)</f>
        <v>0</v>
      </c>
      <c r="S1902" s="249" t="str">
        <f>L1901</f>
        <v>UNID</v>
      </c>
      <c r="T1902" s="244"/>
      <c r="U1902" s="245"/>
      <c r="V1902" s="662"/>
    </row>
    <row r="1903" spans="1:22" s="164" customFormat="1" hidden="1">
      <c r="A1903" s="1106" t="s">
        <v>826</v>
      </c>
      <c r="B1903" s="250"/>
      <c r="C1903" s="598"/>
      <c r="D1903" s="2481"/>
      <c r="E1903" s="2482"/>
      <c r="F1903" s="2482"/>
      <c r="G1903" s="2482"/>
      <c r="H1903" s="2482"/>
      <c r="I1903" s="2483"/>
      <c r="J1903" s="2486"/>
      <c r="K1903" s="2487"/>
      <c r="L1903" s="751"/>
      <c r="M1903" s="2727" t="s">
        <v>261</v>
      </c>
      <c r="N1903" s="2728"/>
      <c r="O1903" s="2728"/>
      <c r="P1903" s="2728"/>
      <c r="Q1903" s="2729"/>
      <c r="R1903" s="248">
        <f>R1901-R1902</f>
        <v>0</v>
      </c>
      <c r="S1903" s="249" t="str">
        <f>L1901</f>
        <v>UNID</v>
      </c>
      <c r="T1903" s="562"/>
      <c r="U1903" s="563"/>
      <c r="V1903" s="662"/>
    </row>
    <row r="1904" spans="1:22" s="600" customFormat="1" hidden="1">
      <c r="A1904" s="1106"/>
      <c r="B1904" s="311"/>
      <c r="C1904" s="312"/>
      <c r="D1904" s="314"/>
      <c r="E1904" s="314"/>
      <c r="F1904" s="314"/>
      <c r="G1904" s="314"/>
      <c r="H1904" s="314"/>
      <c r="I1904" s="314"/>
      <c r="J1904" s="316"/>
      <c r="K1904" s="316"/>
      <c r="L1904" s="2042"/>
      <c r="M1904" s="2043"/>
      <c r="N1904" s="2043"/>
      <c r="O1904" s="2043"/>
      <c r="P1904" s="2043"/>
      <c r="Q1904" s="2043"/>
      <c r="R1904" s="319"/>
      <c r="S1904" s="320"/>
      <c r="T1904" s="321"/>
      <c r="U1904" s="322"/>
      <c r="V1904" s="660"/>
    </row>
    <row r="1905" spans="1:22" s="164" customFormat="1" ht="31.5">
      <c r="A1905" s="1106"/>
      <c r="B1905" s="717">
        <f>VLOOKUP(A1916,'11 - FINANCEIRA'!_xlnm.Print_Area,2,FALSE)</f>
        <v>43068</v>
      </c>
      <c r="C1905" s="785" t="str">
        <f>VLOOKUP(A1916,'11 - FINANCEIRA'!_xlnm.Print_Area,3,FALSE)</f>
        <v>Remanejamento de ligação e religação de redes de esgoto, em Vias Urbanas</v>
      </c>
      <c r="D1905" s="2472" t="s">
        <v>242</v>
      </c>
      <c r="E1905" s="2473"/>
      <c r="F1905" s="2473"/>
      <c r="G1905" s="2473"/>
      <c r="H1905" s="2473"/>
      <c r="I1905" s="2474"/>
      <c r="J1905" s="733" t="s">
        <v>373</v>
      </c>
      <c r="K1905" s="733"/>
      <c r="L1905" s="733" t="s">
        <v>480</v>
      </c>
      <c r="M1905" s="733" t="s">
        <v>542</v>
      </c>
      <c r="N1905" s="733"/>
      <c r="O1905" s="733" t="s">
        <v>543</v>
      </c>
      <c r="P1905" s="173" t="s">
        <v>249</v>
      </c>
      <c r="Q1905" s="716" t="s">
        <v>250</v>
      </c>
      <c r="R1905" s="734" t="s">
        <v>139</v>
      </c>
      <c r="S1905" s="733" t="s">
        <v>251</v>
      </c>
      <c r="T1905" s="733" t="s">
        <v>252</v>
      </c>
      <c r="U1905" s="735" t="s">
        <v>253</v>
      </c>
      <c r="V1905" s="662"/>
    </row>
    <row r="1906" spans="1:22" s="164" customFormat="1">
      <c r="A1906" s="1106"/>
      <c r="B1906" s="718"/>
      <c r="C1906" s="736"/>
      <c r="D1906" s="2475" t="s">
        <v>254</v>
      </c>
      <c r="E1906" s="2476"/>
      <c r="F1906" s="2477"/>
      <c r="G1906" s="737" t="s">
        <v>255</v>
      </c>
      <c r="H1906" s="738"/>
      <c r="I1906" s="739"/>
      <c r="J1906" s="740"/>
      <c r="K1906" s="740"/>
      <c r="L1906" s="740"/>
      <c r="M1906" s="740"/>
      <c r="N1906" s="740"/>
      <c r="O1906" s="740"/>
      <c r="P1906" s="177" t="s">
        <v>256</v>
      </c>
      <c r="Q1906" s="740"/>
      <c r="R1906" s="741"/>
      <c r="S1906" s="740"/>
      <c r="T1906" s="740"/>
      <c r="U1906" s="742"/>
      <c r="V1906" s="662"/>
    </row>
    <row r="1907" spans="1:22" s="175" customFormat="1">
      <c r="A1907" s="1110"/>
      <c r="B1907" s="342"/>
      <c r="C1907" s="339" t="s">
        <v>329</v>
      </c>
      <c r="D1907" s="496">
        <v>9</v>
      </c>
      <c r="E1907" s="497" t="s">
        <v>299</v>
      </c>
      <c r="F1907" s="498">
        <v>10</v>
      </c>
      <c r="G1907" s="496">
        <v>13</v>
      </c>
      <c r="H1907" s="497" t="s">
        <v>299</v>
      </c>
      <c r="I1907" s="498">
        <v>7</v>
      </c>
      <c r="J1907" s="340" t="s">
        <v>300</v>
      </c>
      <c r="K1907" s="509">
        <v>70</v>
      </c>
      <c r="L1907" s="344"/>
      <c r="M1907" s="505"/>
      <c r="N1907" s="506"/>
      <c r="O1907" s="406"/>
      <c r="P1907" s="344"/>
      <c r="Q1907" s="507"/>
      <c r="R1907" s="346">
        <v>70</v>
      </c>
      <c r="S1907" s="406" t="s">
        <v>1018</v>
      </c>
      <c r="T1907" s="347">
        <v>22</v>
      </c>
      <c r="U1907" s="408"/>
      <c r="V1907" s="429">
        <f>V1910</f>
        <v>0</v>
      </c>
    </row>
    <row r="1908" spans="1:22" s="40" customFormat="1" ht="30">
      <c r="A1908" s="1110"/>
      <c r="B1908" s="296"/>
      <c r="C1908" s="820" t="s">
        <v>839</v>
      </c>
      <c r="D1908" s="623">
        <f t="shared" ref="D1908:I1908" si="248">D852</f>
        <v>35</v>
      </c>
      <c r="E1908" s="624" t="str">
        <f t="shared" si="248"/>
        <v>+</v>
      </c>
      <c r="F1908" s="625">
        <f t="shared" si="248"/>
        <v>14</v>
      </c>
      <c r="G1908" s="623">
        <f t="shared" si="248"/>
        <v>39</v>
      </c>
      <c r="H1908" s="624" t="str">
        <f t="shared" si="248"/>
        <v>+</v>
      </c>
      <c r="I1908" s="625">
        <f t="shared" si="248"/>
        <v>16</v>
      </c>
      <c r="J1908" s="340">
        <f>(G1908-D1908)*20+I1908-F1908</f>
        <v>82</v>
      </c>
      <c r="K1908" s="340"/>
      <c r="L1908" s="340"/>
      <c r="M1908" s="340"/>
      <c r="N1908" s="340"/>
      <c r="O1908" s="340">
        <v>0.3</v>
      </c>
      <c r="P1908" s="461"/>
      <c r="Q1908" s="340"/>
      <c r="R1908" s="462">
        <f>J1908*O1908</f>
        <v>24.599999999999998</v>
      </c>
      <c r="S1908" s="434" t="s">
        <v>1018</v>
      </c>
      <c r="T1908" s="347">
        <v>25</v>
      </c>
      <c r="U1908" s="1411"/>
    </row>
    <row r="1909" spans="1:22" s="40" customFormat="1" ht="30">
      <c r="A1909" s="1110"/>
      <c r="B1909" s="296"/>
      <c r="C1909" s="820" t="s">
        <v>839</v>
      </c>
      <c r="D1909" s="623">
        <f t="shared" ref="D1909:I1911" si="249">D316</f>
        <v>31</v>
      </c>
      <c r="E1909" s="624" t="str">
        <f t="shared" si="249"/>
        <v>+</v>
      </c>
      <c r="F1909" s="625">
        <f t="shared" si="249"/>
        <v>12</v>
      </c>
      <c r="G1909" s="623">
        <f t="shared" si="249"/>
        <v>35</v>
      </c>
      <c r="H1909" s="624" t="str">
        <f t="shared" si="249"/>
        <v>+</v>
      </c>
      <c r="I1909" s="625">
        <f t="shared" si="249"/>
        <v>14</v>
      </c>
      <c r="J1909" s="340">
        <f>(G1909-D1909)*20+I1909-F1909</f>
        <v>82</v>
      </c>
      <c r="K1909" s="340"/>
      <c r="L1909" s="340"/>
      <c r="M1909" s="340"/>
      <c r="N1909" s="340"/>
      <c r="O1909" s="340">
        <v>0.3</v>
      </c>
      <c r="P1909" s="461"/>
      <c r="Q1909" s="340"/>
      <c r="R1909" s="462">
        <f>J1909*O1909</f>
        <v>24.599999999999998</v>
      </c>
      <c r="S1909" s="434" t="s">
        <v>1018</v>
      </c>
      <c r="T1909" s="347">
        <v>26</v>
      </c>
      <c r="U1909" s="1411"/>
    </row>
    <row r="1910" spans="1:22" s="40" customFormat="1" ht="30">
      <c r="A1910" s="1110"/>
      <c r="B1910" s="296"/>
      <c r="C1910" s="820" t="s">
        <v>839</v>
      </c>
      <c r="D1910" s="623">
        <f t="shared" si="249"/>
        <v>39</v>
      </c>
      <c r="E1910" s="624" t="str">
        <f t="shared" si="249"/>
        <v>+</v>
      </c>
      <c r="F1910" s="625">
        <f t="shared" si="249"/>
        <v>16</v>
      </c>
      <c r="G1910" s="623">
        <f t="shared" si="249"/>
        <v>41</v>
      </c>
      <c r="H1910" s="624" t="str">
        <f t="shared" si="249"/>
        <v>+</v>
      </c>
      <c r="I1910" s="625">
        <f t="shared" si="249"/>
        <v>16</v>
      </c>
      <c r="J1910" s="340">
        <f>(G1910-D1910)*20+I1910-F1910</f>
        <v>40</v>
      </c>
      <c r="K1910" s="340"/>
      <c r="L1910" s="340"/>
      <c r="M1910" s="340"/>
      <c r="N1910" s="340"/>
      <c r="O1910" s="340">
        <v>0.3</v>
      </c>
      <c r="P1910" s="461"/>
      <c r="Q1910" s="340"/>
      <c r="R1910" s="462">
        <f>J1910*O1910</f>
        <v>12</v>
      </c>
      <c r="S1910" s="434" t="s">
        <v>1018</v>
      </c>
      <c r="T1910" s="347">
        <v>26</v>
      </c>
      <c r="U1910" s="1411"/>
    </row>
    <row r="1911" spans="1:22" s="40" customFormat="1" ht="30">
      <c r="A1911" s="1110"/>
      <c r="B1911" s="296"/>
      <c r="C1911" s="820" t="s">
        <v>839</v>
      </c>
      <c r="D1911" s="623">
        <f t="shared" si="249"/>
        <v>41</v>
      </c>
      <c r="E1911" s="624" t="str">
        <f t="shared" si="249"/>
        <v>+</v>
      </c>
      <c r="F1911" s="625">
        <f t="shared" si="249"/>
        <v>16</v>
      </c>
      <c r="G1911" s="623">
        <f t="shared" si="249"/>
        <v>42</v>
      </c>
      <c r="H1911" s="624" t="str">
        <f t="shared" si="249"/>
        <v>+</v>
      </c>
      <c r="I1911" s="625">
        <f t="shared" si="249"/>
        <v>12</v>
      </c>
      <c r="J1911" s="340">
        <f>(G1911-D1911)*20+I1911-F1911</f>
        <v>16</v>
      </c>
      <c r="K1911" s="340"/>
      <c r="L1911" s="340"/>
      <c r="M1911" s="340"/>
      <c r="N1911" s="340"/>
      <c r="O1911" s="340">
        <v>1</v>
      </c>
      <c r="P1911" s="461"/>
      <c r="Q1911" s="340"/>
      <c r="R1911" s="462">
        <f>J1911*O1911</f>
        <v>16</v>
      </c>
      <c r="S1911" s="434" t="s">
        <v>1018</v>
      </c>
      <c r="T1911" s="347">
        <v>27</v>
      </c>
      <c r="U1911" s="1507" t="s">
        <v>1137</v>
      </c>
    </row>
    <row r="1912" spans="1:22" s="40" customFormat="1" ht="30">
      <c r="A1912" s="1110"/>
      <c r="B1912" s="296"/>
      <c r="C1912" s="766" t="s">
        <v>839</v>
      </c>
      <c r="D1912" s="770">
        <v>42</v>
      </c>
      <c r="E1912" s="1210" t="str">
        <f>E319</f>
        <v>+</v>
      </c>
      <c r="F1912" s="771">
        <f>F319</f>
        <v>12</v>
      </c>
      <c r="G1912" s="770">
        <v>42</v>
      </c>
      <c r="H1912" s="1210" t="str">
        <f>H319</f>
        <v>+</v>
      </c>
      <c r="I1912" s="771">
        <v>14.5</v>
      </c>
      <c r="J1912" s="438">
        <f>(G1912-D1912)*20+I1912-F1912</f>
        <v>2.5</v>
      </c>
      <c r="K1912" s="438"/>
      <c r="L1912" s="438"/>
      <c r="M1912" s="438"/>
      <c r="N1912" s="438"/>
      <c r="O1912" s="438">
        <v>1</v>
      </c>
      <c r="P1912" s="453"/>
      <c r="Q1912" s="438"/>
      <c r="R1912" s="454">
        <f>J1912*O1912</f>
        <v>2.5</v>
      </c>
      <c r="S1912" s="439" t="s">
        <v>1018</v>
      </c>
      <c r="T1912" s="441">
        <v>28</v>
      </c>
      <c r="U1912" s="1436"/>
    </row>
    <row r="1913" spans="1:22" s="40" customFormat="1">
      <c r="A1913" s="1110"/>
      <c r="B1913" s="1126"/>
      <c r="C1913" s="1014"/>
      <c r="D1913" s="1052"/>
      <c r="E1913" s="1056"/>
      <c r="F1913" s="1056"/>
      <c r="G1913" s="1056"/>
      <c r="H1913" s="1056"/>
      <c r="I1913" s="1057"/>
      <c r="J1913" s="228"/>
      <c r="K1913" s="229"/>
      <c r="L1913" s="230"/>
      <c r="M1913" s="231"/>
      <c r="N1913" s="232"/>
      <c r="O1913" s="233"/>
      <c r="P1913" s="230"/>
      <c r="Q1913" s="234"/>
      <c r="R1913" s="1219"/>
      <c r="S1913" s="1215"/>
      <c r="T1913" s="999"/>
      <c r="U1913" s="1596"/>
    </row>
    <row r="1914" spans="1:22" s="164" customFormat="1">
      <c r="A1914" s="1106"/>
      <c r="B1914" s="239"/>
      <c r="C1914" s="1603"/>
      <c r="D1914" s="2730" t="s">
        <v>257</v>
      </c>
      <c r="E1914" s="2731"/>
      <c r="F1914" s="2731"/>
      <c r="G1914" s="2731"/>
      <c r="H1914" s="2731"/>
      <c r="I1914" s="2732"/>
      <c r="J1914" s="2490">
        <f>VLOOKUP(A1916,'11 - FINANCEIRA'!$A$16:$AE$156,30,FALSE)</f>
        <v>150</v>
      </c>
      <c r="K1914" s="2491"/>
      <c r="L1914" s="309" t="str">
        <f>VLOOKUP(A1916,'11 - FINANCEIRA'!_xlnm.Print_Area,4,FALSE)</f>
        <v>UNID</v>
      </c>
      <c r="M1914" s="2727" t="s">
        <v>258</v>
      </c>
      <c r="N1914" s="2728"/>
      <c r="O1914" s="2728"/>
      <c r="P1914" s="2728"/>
      <c r="Q1914" s="2729"/>
      <c r="R1914" s="248">
        <f>SUM(R1907:R1912)</f>
        <v>149.69999999999999</v>
      </c>
      <c r="S1914" s="310" t="str">
        <f>L1914</f>
        <v>UNID</v>
      </c>
      <c r="T1914" s="321"/>
      <c r="U1914" s="322"/>
      <c r="V1914" s="662"/>
    </row>
    <row r="1915" spans="1:22" s="164" customFormat="1">
      <c r="A1915" s="1106"/>
      <c r="B1915" s="1123"/>
      <c r="C1915" s="2182"/>
      <c r="D1915" s="2478" t="s">
        <v>259</v>
      </c>
      <c r="E1915" s="2479"/>
      <c r="F1915" s="2479"/>
      <c r="G1915" s="2479"/>
      <c r="H1915" s="2479"/>
      <c r="I1915" s="2480"/>
      <c r="J1915" s="2484">
        <f>R1914/J1914</f>
        <v>0.99799999999999989</v>
      </c>
      <c r="K1915" s="2485"/>
      <c r="L1915" s="743"/>
      <c r="M1915" s="2727" t="s">
        <v>260</v>
      </c>
      <c r="N1915" s="2728"/>
      <c r="O1915" s="2728"/>
      <c r="P1915" s="2728"/>
      <c r="Q1915" s="2729"/>
      <c r="R1915" s="248">
        <f>VLOOKUP(A1916,'11 - FINANCEIRA'!_xlnm.Print_Area,8,FALSE)</f>
        <v>147.19999999999999</v>
      </c>
      <c r="S1915" s="249" t="str">
        <f>L1914</f>
        <v>UNID</v>
      </c>
      <c r="T1915" s="244"/>
      <c r="U1915" s="1124"/>
      <c r="V1915" s="662"/>
    </row>
    <row r="1916" spans="1:22" s="164" customFormat="1">
      <c r="A1916" s="1106" t="s">
        <v>827</v>
      </c>
      <c r="B1916" s="250"/>
      <c r="C1916" s="598"/>
      <c r="D1916" s="2481"/>
      <c r="E1916" s="2482"/>
      <c r="F1916" s="2482"/>
      <c r="G1916" s="2482"/>
      <c r="H1916" s="2482"/>
      <c r="I1916" s="2483"/>
      <c r="J1916" s="2486"/>
      <c r="K1916" s="2487"/>
      <c r="L1916" s="751"/>
      <c r="M1916" s="2727" t="s">
        <v>261</v>
      </c>
      <c r="N1916" s="2728"/>
      <c r="O1916" s="2728"/>
      <c r="P1916" s="2728"/>
      <c r="Q1916" s="2729"/>
      <c r="R1916" s="248">
        <f>R1914-R1915</f>
        <v>2.5</v>
      </c>
      <c r="S1916" s="249" t="str">
        <f>L1914</f>
        <v>UNID</v>
      </c>
      <c r="T1916" s="562"/>
      <c r="U1916" s="563"/>
      <c r="V1916" s="662"/>
    </row>
    <row r="1917" spans="1:22" s="600" customFormat="1">
      <c r="A1917" s="1106"/>
      <c r="B1917" s="295"/>
      <c r="C1917" s="254"/>
      <c r="D1917" s="256"/>
      <c r="E1917" s="256"/>
      <c r="F1917" s="256"/>
      <c r="G1917" s="256"/>
      <c r="H1917" s="256"/>
      <c r="I1917" s="256"/>
      <c r="J1917" s="258"/>
      <c r="K1917" s="258"/>
      <c r="L1917" s="1059"/>
      <c r="M1917" s="1060"/>
      <c r="N1917" s="1060"/>
      <c r="O1917" s="1060"/>
      <c r="P1917" s="1060"/>
      <c r="Q1917" s="1060"/>
      <c r="R1917" s="261"/>
      <c r="S1917" s="262"/>
      <c r="T1917" s="263"/>
      <c r="U1917" s="264"/>
      <c r="V1917" s="660"/>
    </row>
    <row r="1918" spans="1:22" s="164" customFormat="1" ht="47.25">
      <c r="A1918" s="1106"/>
      <c r="B1918" s="717" t="str">
        <f>VLOOKUP(A1925,'11 - FINANCEIRA'!_xlnm.Print_Area,2,FALSE)</f>
        <v>CPU-07</v>
      </c>
      <c r="C1918" s="785" t="str">
        <f>VLOOKUP(A1925,'11 - FINANCEIRA'!_xlnm.Print_Area,3,FALSE)</f>
        <v>Enrocamento de pedra espalhada com escavadeira hidráulica - rachão reciclado comercial - fornecimento, transporte e assentamento</v>
      </c>
      <c r="D1918" s="2472" t="s">
        <v>242</v>
      </c>
      <c r="E1918" s="2473"/>
      <c r="F1918" s="2473"/>
      <c r="G1918" s="2473"/>
      <c r="H1918" s="2473"/>
      <c r="I1918" s="2474"/>
      <c r="J1918" s="733" t="s">
        <v>373</v>
      </c>
      <c r="K1918" s="733" t="s">
        <v>244</v>
      </c>
      <c r="L1918" s="733" t="s">
        <v>245</v>
      </c>
      <c r="M1918" s="733" t="s">
        <v>246</v>
      </c>
      <c r="N1918" s="733"/>
      <c r="O1918" s="716" t="s">
        <v>476</v>
      </c>
      <c r="P1918" s="173" t="s">
        <v>249</v>
      </c>
      <c r="Q1918" s="716" t="s">
        <v>250</v>
      </c>
      <c r="R1918" s="734" t="s">
        <v>139</v>
      </c>
      <c r="S1918" s="733" t="s">
        <v>251</v>
      </c>
      <c r="T1918" s="733" t="s">
        <v>252</v>
      </c>
      <c r="U1918" s="735" t="s">
        <v>253</v>
      </c>
      <c r="V1918" s="662"/>
    </row>
    <row r="1919" spans="1:22" s="164" customFormat="1">
      <c r="A1919" s="1106"/>
      <c r="B1919" s="718"/>
      <c r="C1919" s="736"/>
      <c r="D1919" s="2475" t="s">
        <v>254</v>
      </c>
      <c r="E1919" s="2476"/>
      <c r="F1919" s="2477"/>
      <c r="G1919" s="737" t="s">
        <v>255</v>
      </c>
      <c r="H1919" s="738"/>
      <c r="I1919" s="739"/>
      <c r="J1919" s="740"/>
      <c r="K1919" s="740"/>
      <c r="L1919" s="740"/>
      <c r="M1919" s="740"/>
      <c r="N1919" s="740"/>
      <c r="O1919" s="740"/>
      <c r="P1919" s="177" t="s">
        <v>256</v>
      </c>
      <c r="Q1919" s="740"/>
      <c r="R1919" s="741"/>
      <c r="S1919" s="740"/>
      <c r="T1919" s="740"/>
      <c r="U1919" s="742"/>
      <c r="V1919" s="662"/>
    </row>
    <row r="1920" spans="1:22" s="39" customFormat="1">
      <c r="A1920" s="1771"/>
      <c r="B1920" s="1001"/>
      <c r="C1920" s="1505" t="s">
        <v>916</v>
      </c>
      <c r="D1920" s="770">
        <v>42</v>
      </c>
      <c r="E1920" s="897" t="s">
        <v>299</v>
      </c>
      <c r="F1920" s="771">
        <v>12</v>
      </c>
      <c r="G1920" s="887">
        <v>43</v>
      </c>
      <c r="H1920" s="888" t="s">
        <v>299</v>
      </c>
      <c r="I1920" s="889">
        <v>14</v>
      </c>
      <c r="J1920" s="868" t="s">
        <v>300</v>
      </c>
      <c r="K1920" s="553">
        <f>(G1920-D1920)*20+I1920-F1920</f>
        <v>22</v>
      </c>
      <c r="L1920" s="868">
        <v>3.2</v>
      </c>
      <c r="M1920" s="771">
        <v>0.8</v>
      </c>
      <c r="N1920" s="897"/>
      <c r="O1920" s="1506">
        <f>TRUNC(K1920*L1920*M1920,3)</f>
        <v>56.32</v>
      </c>
      <c r="P1920" s="890"/>
      <c r="Q1920" s="896"/>
      <c r="R1920" s="891">
        <f>TRUNC(O1920,3)</f>
        <v>56.32</v>
      </c>
      <c r="S1920" s="868" t="s">
        <v>164</v>
      </c>
      <c r="T1920" s="892">
        <v>28</v>
      </c>
      <c r="U1920" s="1176"/>
      <c r="V1920" s="1387"/>
    </row>
    <row r="1921" spans="1:22" s="39" customFormat="1">
      <c r="A1921" s="1771"/>
      <c r="B1921" s="1001"/>
      <c r="C1921" s="1505" t="s">
        <v>1174</v>
      </c>
      <c r="D1921" s="770">
        <v>42</v>
      </c>
      <c r="E1921" s="897" t="s">
        <v>299</v>
      </c>
      <c r="F1921" s="771">
        <v>12</v>
      </c>
      <c r="G1921" s="887">
        <v>42</v>
      </c>
      <c r="H1921" s="888" t="s">
        <v>299</v>
      </c>
      <c r="I1921" s="889">
        <v>17</v>
      </c>
      <c r="J1921" s="868" t="s">
        <v>300</v>
      </c>
      <c r="K1921" s="553">
        <v>6</v>
      </c>
      <c r="L1921" s="868">
        <v>2</v>
      </c>
      <c r="M1921" s="771">
        <v>2</v>
      </c>
      <c r="N1921" s="897"/>
      <c r="O1921" s="1506">
        <f>TRUNC(K1921*L1921*M1921,3)</f>
        <v>24</v>
      </c>
      <c r="P1921" s="890"/>
      <c r="Q1921" s="896"/>
      <c r="R1921" s="891">
        <f>TRUNC(O1921,3)</f>
        <v>24</v>
      </c>
      <c r="S1921" s="868" t="s">
        <v>164</v>
      </c>
      <c r="T1921" s="892">
        <v>28</v>
      </c>
      <c r="U1921" s="595" t="s">
        <v>1173</v>
      </c>
      <c r="V1921" s="1387"/>
    </row>
    <row r="1922" spans="1:22" s="164" customFormat="1" ht="20.25">
      <c r="A1922" s="1106"/>
      <c r="B1922" s="1172"/>
      <c r="C1922" s="1014"/>
      <c r="D1922" s="1052"/>
      <c r="E1922" s="1055"/>
      <c r="F1922" s="1143"/>
      <c r="G1922" s="1056"/>
      <c r="H1922" s="1055"/>
      <c r="I1922" s="1057"/>
      <c r="J1922" s="228"/>
      <c r="K1922" s="229"/>
      <c r="L1922" s="230"/>
      <c r="M1922" s="231"/>
      <c r="N1922" s="232"/>
      <c r="O1922" s="233"/>
      <c r="P1922" s="230"/>
      <c r="Q1922" s="234"/>
      <c r="R1922" s="1219"/>
      <c r="S1922" s="1215"/>
      <c r="T1922" s="999"/>
      <c r="U1922" s="1590"/>
      <c r="V1922" s="662"/>
    </row>
    <row r="1923" spans="1:22" s="164" customFormat="1">
      <c r="A1923" s="1106"/>
      <c r="B1923" s="239"/>
      <c r="C1923" s="1603"/>
      <c r="D1923" s="2730" t="s">
        <v>257</v>
      </c>
      <c r="E1923" s="2731"/>
      <c r="F1923" s="2731"/>
      <c r="G1923" s="2731"/>
      <c r="H1923" s="2731"/>
      <c r="I1923" s="2732"/>
      <c r="J1923" s="2490">
        <f>VLOOKUP(A1925,'11 - FINANCEIRA'!$A$16:$AE$156,30,FALSE)</f>
        <v>648</v>
      </c>
      <c r="K1923" s="2491"/>
      <c r="L1923" s="309" t="str">
        <f>VLOOKUP(A1925,'11 - FINANCEIRA'!_xlnm.Print_Area,4,FALSE)</f>
        <v>UNID</v>
      </c>
      <c r="M1923" s="2727" t="s">
        <v>258</v>
      </c>
      <c r="N1923" s="2728"/>
      <c r="O1923" s="2728"/>
      <c r="P1923" s="2728"/>
      <c r="Q1923" s="2729"/>
      <c r="R1923" s="248">
        <f>SUM(R1920:R1921)</f>
        <v>80.319999999999993</v>
      </c>
      <c r="S1923" s="310" t="str">
        <f>L1923</f>
        <v>UNID</v>
      </c>
      <c r="T1923" s="321"/>
      <c r="U1923" s="322"/>
      <c r="V1923" s="662"/>
    </row>
    <row r="1924" spans="1:22" s="164" customFormat="1">
      <c r="A1924" s="1106"/>
      <c r="B1924" s="1123"/>
      <c r="C1924" s="2182"/>
      <c r="D1924" s="2478" t="s">
        <v>259</v>
      </c>
      <c r="E1924" s="2479"/>
      <c r="F1924" s="2479"/>
      <c r="G1924" s="2479"/>
      <c r="H1924" s="2479"/>
      <c r="I1924" s="2480"/>
      <c r="J1924" s="2484">
        <f>R1923/J1923</f>
        <v>0.12395061728395061</v>
      </c>
      <c r="K1924" s="2485"/>
      <c r="L1924" s="743"/>
      <c r="M1924" s="2727" t="s">
        <v>260</v>
      </c>
      <c r="N1924" s="2728"/>
      <c r="O1924" s="2728"/>
      <c r="P1924" s="2728"/>
      <c r="Q1924" s="2729"/>
      <c r="R1924" s="248">
        <f>VLOOKUP(A1925,'11 - FINANCEIRA'!_xlnm.Print_Area,8,FALSE)</f>
        <v>0</v>
      </c>
      <c r="S1924" s="249" t="str">
        <f>L1923</f>
        <v>UNID</v>
      </c>
      <c r="T1924" s="244"/>
      <c r="U1924" s="1124"/>
      <c r="V1924" s="662"/>
    </row>
    <row r="1925" spans="1:22" s="164" customFormat="1">
      <c r="A1925" s="1106" t="s">
        <v>842</v>
      </c>
      <c r="B1925" s="250"/>
      <c r="C1925" s="598"/>
      <c r="D1925" s="2481"/>
      <c r="E1925" s="2482"/>
      <c r="F1925" s="2482"/>
      <c r="G1925" s="2482"/>
      <c r="H1925" s="2482"/>
      <c r="I1925" s="2483"/>
      <c r="J1925" s="2486"/>
      <c r="K1925" s="2487"/>
      <c r="L1925" s="751"/>
      <c r="M1925" s="2727" t="s">
        <v>261</v>
      </c>
      <c r="N1925" s="2728"/>
      <c r="O1925" s="2728"/>
      <c r="P1925" s="2728"/>
      <c r="Q1925" s="2729"/>
      <c r="R1925" s="248">
        <f>R1923-R1924</f>
        <v>80.319999999999993</v>
      </c>
      <c r="S1925" s="249" t="str">
        <f>L1923</f>
        <v>UNID</v>
      </c>
      <c r="T1925" s="562"/>
      <c r="U1925" s="563"/>
      <c r="V1925" s="662"/>
    </row>
    <row r="1926" spans="1:22" s="164" customFormat="1" hidden="1">
      <c r="A1926" s="1770"/>
      <c r="B1926" s="660"/>
      <c r="D1926" s="661"/>
      <c r="E1926" s="662"/>
      <c r="F1926" s="663"/>
      <c r="G1926" s="661"/>
      <c r="I1926" s="663"/>
      <c r="K1926" s="664"/>
      <c r="L1926" s="664"/>
      <c r="N1926" s="511"/>
      <c r="O1926" s="662"/>
      <c r="Q1926" s="665"/>
      <c r="R1926" s="666"/>
      <c r="S1926" s="667"/>
      <c r="U1926" s="662"/>
      <c r="V1926" s="662"/>
    </row>
    <row r="1927" spans="1:22" hidden="1">
      <c r="B1927" s="660"/>
      <c r="C1927" s="164"/>
      <c r="D1927" s="661"/>
      <c r="G1927" s="661"/>
      <c r="J1927" s="164"/>
      <c r="K1927" s="664"/>
      <c r="L1927" s="664"/>
      <c r="M1927" s="164"/>
      <c r="N1927" s="511"/>
      <c r="O1927" s="662"/>
      <c r="R1927" s="666"/>
    </row>
    <row r="1928" spans="1:22" hidden="1">
      <c r="B1928" s="660"/>
      <c r="C1928" s="164"/>
      <c r="D1928" s="661"/>
      <c r="G1928" s="661"/>
      <c r="J1928" s="164"/>
      <c r="K1928" s="664"/>
      <c r="L1928" s="664"/>
      <c r="M1928" s="164"/>
      <c r="N1928" s="511"/>
      <c r="O1928" s="662"/>
      <c r="R1928" s="666"/>
    </row>
    <row r="1929" spans="1:22">
      <c r="B1929" s="660"/>
      <c r="C1929" s="164"/>
      <c r="D1929" s="661"/>
      <c r="G1929" s="661"/>
      <c r="J1929" s="164"/>
      <c r="K1929" s="664"/>
      <c r="L1929" s="664"/>
      <c r="M1929" s="164"/>
      <c r="N1929" s="511"/>
      <c r="O1929" s="662"/>
      <c r="R1929" s="666"/>
    </row>
    <row r="1930" spans="1:22">
      <c r="B1930" s="660"/>
      <c r="C1930" s="164"/>
      <c r="D1930" s="661"/>
      <c r="G1930" s="661"/>
      <c r="J1930" s="164"/>
      <c r="K1930" s="664"/>
      <c r="L1930" s="664"/>
      <c r="M1930" s="164"/>
      <c r="N1930" s="511"/>
      <c r="O1930" s="662"/>
      <c r="R1930" s="666"/>
    </row>
    <row r="1931" spans="1:22">
      <c r="B1931" s="660"/>
      <c r="C1931" s="164"/>
      <c r="D1931" s="661"/>
      <c r="G1931" s="661"/>
      <c r="J1931" s="164"/>
      <c r="K1931" s="664"/>
      <c r="L1931" s="664"/>
      <c r="M1931" s="164"/>
      <c r="N1931" s="511"/>
      <c r="O1931" s="662"/>
      <c r="R1931" s="666"/>
    </row>
    <row r="1932" spans="1:22">
      <c r="B1932" s="660"/>
      <c r="C1932" s="164"/>
      <c r="D1932" s="661"/>
      <c r="G1932" s="661"/>
      <c r="J1932" s="164"/>
      <c r="K1932" s="664"/>
      <c r="L1932" s="664"/>
      <c r="M1932" s="164"/>
      <c r="N1932" s="511"/>
      <c r="O1932" s="662"/>
      <c r="R1932" s="666"/>
    </row>
    <row r="1933" spans="1:22">
      <c r="B1933" s="660"/>
      <c r="C1933" s="164"/>
      <c r="D1933" s="661"/>
      <c r="G1933" s="661"/>
      <c r="J1933" s="164"/>
      <c r="K1933" s="664"/>
      <c r="L1933" s="664"/>
      <c r="M1933" s="164"/>
      <c r="N1933" s="511"/>
      <c r="O1933" s="662"/>
      <c r="R1933" s="666"/>
    </row>
    <row r="1934" spans="1:22">
      <c r="B1934" s="660"/>
      <c r="C1934" s="164"/>
      <c r="D1934" s="661"/>
      <c r="G1934" s="661"/>
      <c r="J1934" s="164"/>
      <c r="K1934" s="664"/>
      <c r="L1934" s="664"/>
      <c r="M1934" s="164"/>
      <c r="N1934" s="511"/>
      <c r="O1934" s="662"/>
      <c r="R1934" s="666"/>
    </row>
    <row r="1935" spans="1:22">
      <c r="B1935" s="660"/>
      <c r="C1935" s="164"/>
      <c r="D1935" s="661"/>
      <c r="G1935" s="661"/>
      <c r="J1935" s="164"/>
      <c r="K1935" s="664"/>
      <c r="L1935" s="664"/>
      <c r="M1935" s="164"/>
      <c r="N1935" s="511"/>
      <c r="O1935" s="662"/>
      <c r="R1935" s="666"/>
    </row>
    <row r="1936" spans="1:22">
      <c r="B1936" s="660"/>
      <c r="C1936" s="164"/>
      <c r="D1936" s="661"/>
      <c r="G1936" s="661"/>
      <c r="J1936" s="164"/>
      <c r="K1936" s="664"/>
      <c r="L1936" s="664"/>
      <c r="M1936" s="164"/>
      <c r="N1936" s="511"/>
      <c r="O1936" s="662"/>
      <c r="R1936" s="666"/>
    </row>
    <row r="1937" spans="2:18">
      <c r="B1937" s="660"/>
      <c r="C1937" s="164"/>
      <c r="D1937" s="661"/>
      <c r="G1937" s="661"/>
      <c r="J1937" s="164"/>
      <c r="K1937" s="664"/>
      <c r="L1937" s="664"/>
      <c r="M1937" s="164"/>
      <c r="N1937" s="511"/>
      <c r="O1937" s="662"/>
      <c r="R1937" s="666"/>
    </row>
    <row r="1938" spans="2:18">
      <c r="B1938" s="660"/>
      <c r="C1938" s="164"/>
      <c r="D1938" s="661"/>
      <c r="G1938" s="661"/>
      <c r="J1938" s="164"/>
      <c r="K1938" s="664"/>
      <c r="L1938" s="664"/>
      <c r="M1938" s="164"/>
      <c r="N1938" s="511"/>
      <c r="O1938" s="662"/>
      <c r="R1938" s="666"/>
    </row>
    <row r="1939" spans="2:18">
      <c r="B1939" s="660"/>
      <c r="C1939" s="164"/>
      <c r="D1939" s="661"/>
      <c r="G1939" s="661"/>
      <c r="J1939" s="164"/>
      <c r="K1939" s="664"/>
      <c r="L1939" s="664"/>
      <c r="M1939" s="164"/>
      <c r="N1939" s="511"/>
      <c r="O1939" s="662"/>
      <c r="R1939" s="666"/>
    </row>
    <row r="1940" spans="2:18">
      <c r="B1940" s="660"/>
      <c r="C1940" s="164"/>
      <c r="D1940" s="661"/>
      <c r="G1940" s="661"/>
      <c r="J1940" s="164"/>
      <c r="K1940" s="664"/>
      <c r="L1940" s="664"/>
      <c r="M1940" s="164"/>
      <c r="N1940" s="511"/>
      <c r="O1940" s="662"/>
      <c r="R1940" s="666"/>
    </row>
    <row r="1941" spans="2:18">
      <c r="B1941" s="660"/>
      <c r="C1941" s="164"/>
      <c r="D1941" s="661"/>
      <c r="G1941" s="661"/>
      <c r="J1941" s="164"/>
      <c r="K1941" s="664"/>
      <c r="L1941" s="664"/>
      <c r="M1941" s="164"/>
      <c r="N1941" s="511"/>
      <c r="O1941" s="662"/>
      <c r="R1941" s="666"/>
    </row>
    <row r="1942" spans="2:18">
      <c r="B1942" s="660"/>
      <c r="C1942" s="164"/>
      <c r="D1942" s="661"/>
      <c r="G1942" s="661"/>
      <c r="J1942" s="164"/>
      <c r="K1942" s="664"/>
      <c r="L1942" s="664"/>
      <c r="M1942" s="164"/>
      <c r="N1942" s="511"/>
      <c r="O1942" s="662"/>
      <c r="R1942" s="666"/>
    </row>
    <row r="1943" spans="2:18">
      <c r="B1943" s="660"/>
      <c r="C1943" s="164"/>
      <c r="D1943" s="661"/>
      <c r="G1943" s="661"/>
      <c r="J1943" s="164"/>
      <c r="K1943" s="664"/>
      <c r="L1943" s="664"/>
      <c r="M1943" s="164"/>
      <c r="N1943" s="511"/>
      <c r="O1943" s="662"/>
      <c r="R1943" s="666"/>
    </row>
    <row r="1944" spans="2:18">
      <c r="B1944" s="660"/>
      <c r="C1944" s="164"/>
      <c r="D1944" s="661"/>
      <c r="G1944" s="661"/>
      <c r="J1944" s="164"/>
      <c r="K1944" s="664"/>
      <c r="L1944" s="664"/>
      <c r="M1944" s="164"/>
      <c r="N1944" s="511"/>
      <c r="O1944" s="662"/>
      <c r="R1944" s="666"/>
    </row>
    <row r="1945" spans="2:18">
      <c r="B1945" s="660"/>
      <c r="C1945" s="164"/>
      <c r="D1945" s="661"/>
      <c r="G1945" s="661"/>
      <c r="J1945" s="164"/>
      <c r="K1945" s="664"/>
      <c r="L1945" s="664"/>
      <c r="M1945" s="164"/>
      <c r="N1945" s="511"/>
      <c r="O1945" s="662"/>
      <c r="R1945" s="666"/>
    </row>
    <row r="1946" spans="2:18">
      <c r="B1946" s="660"/>
      <c r="C1946" s="164"/>
      <c r="D1946" s="661"/>
      <c r="G1946" s="661"/>
      <c r="J1946" s="164"/>
      <c r="K1946" s="664"/>
      <c r="L1946" s="664"/>
      <c r="M1946" s="164"/>
      <c r="N1946" s="511"/>
      <c r="O1946" s="662"/>
      <c r="R1946" s="666"/>
    </row>
    <row r="1947" spans="2:18">
      <c r="B1947" s="660"/>
      <c r="C1947" s="164"/>
      <c r="D1947" s="661"/>
      <c r="G1947" s="661"/>
      <c r="J1947" s="164"/>
      <c r="K1947" s="664"/>
      <c r="L1947" s="664"/>
      <c r="M1947" s="164"/>
      <c r="N1947" s="511"/>
      <c r="O1947" s="662"/>
      <c r="R1947" s="666"/>
    </row>
    <row r="1948" spans="2:18">
      <c r="B1948" s="660"/>
      <c r="C1948" s="164"/>
      <c r="D1948" s="661"/>
      <c r="G1948" s="661"/>
      <c r="J1948" s="164"/>
      <c r="K1948" s="664"/>
      <c r="L1948" s="664"/>
      <c r="M1948" s="164"/>
      <c r="N1948" s="511"/>
      <c r="O1948" s="662"/>
      <c r="R1948" s="666"/>
    </row>
    <row r="1949" spans="2:18">
      <c r="B1949" s="660"/>
      <c r="C1949" s="164"/>
      <c r="D1949" s="661"/>
      <c r="G1949" s="661"/>
      <c r="J1949" s="164"/>
      <c r="K1949" s="664"/>
      <c r="L1949" s="664"/>
      <c r="M1949" s="164"/>
      <c r="N1949" s="511"/>
      <c r="O1949" s="662"/>
      <c r="R1949" s="666"/>
    </row>
    <row r="1950" spans="2:18">
      <c r="B1950" s="660"/>
      <c r="C1950" s="164"/>
      <c r="D1950" s="661"/>
      <c r="G1950" s="661"/>
      <c r="J1950" s="164"/>
      <c r="K1950" s="664"/>
      <c r="L1950" s="664"/>
      <c r="M1950" s="164"/>
      <c r="N1950" s="511"/>
      <c r="O1950" s="662"/>
      <c r="R1950" s="666"/>
    </row>
    <row r="1951" spans="2:18">
      <c r="B1951" s="660"/>
      <c r="C1951" s="164"/>
      <c r="D1951" s="661"/>
      <c r="G1951" s="661"/>
      <c r="J1951" s="164"/>
      <c r="K1951" s="664"/>
      <c r="L1951" s="664"/>
      <c r="M1951" s="164"/>
      <c r="N1951" s="511"/>
      <c r="O1951" s="662"/>
      <c r="R1951" s="666"/>
    </row>
    <row r="1952" spans="2:18">
      <c r="B1952" s="660"/>
      <c r="C1952" s="164"/>
      <c r="D1952" s="661"/>
      <c r="G1952" s="661"/>
      <c r="J1952" s="164"/>
      <c r="K1952" s="664"/>
      <c r="L1952" s="664"/>
      <c r="M1952" s="164"/>
      <c r="N1952" s="511"/>
      <c r="O1952" s="662"/>
      <c r="R1952" s="666"/>
    </row>
    <row r="1953" spans="2:18">
      <c r="B1953" s="660"/>
      <c r="C1953" s="164"/>
      <c r="D1953" s="661"/>
      <c r="G1953" s="661"/>
      <c r="J1953" s="164"/>
      <c r="K1953" s="664"/>
      <c r="L1953" s="664"/>
      <c r="M1953" s="164"/>
      <c r="N1953" s="511"/>
      <c r="O1953" s="662"/>
      <c r="R1953" s="666"/>
    </row>
    <row r="1954" spans="2:18">
      <c r="B1954" s="660"/>
      <c r="C1954" s="164"/>
      <c r="D1954" s="661"/>
      <c r="G1954" s="661"/>
      <c r="J1954" s="164"/>
      <c r="K1954" s="664"/>
      <c r="L1954" s="664"/>
      <c r="M1954" s="164"/>
      <c r="N1954" s="511"/>
      <c r="O1954" s="662"/>
      <c r="R1954" s="666"/>
    </row>
    <row r="1955" spans="2:18">
      <c r="B1955" s="660"/>
      <c r="C1955" s="164"/>
      <c r="D1955" s="661"/>
      <c r="G1955" s="661"/>
      <c r="J1955" s="164"/>
      <c r="K1955" s="664"/>
      <c r="L1955" s="664"/>
      <c r="M1955" s="164"/>
      <c r="N1955" s="511"/>
      <c r="O1955" s="662"/>
      <c r="R1955" s="666"/>
    </row>
    <row r="1956" spans="2:18">
      <c r="B1956" s="660"/>
      <c r="C1956" s="164"/>
      <c r="D1956" s="661"/>
      <c r="G1956" s="661"/>
      <c r="J1956" s="164"/>
      <c r="K1956" s="664"/>
      <c r="L1956" s="664"/>
      <c r="M1956" s="164"/>
      <c r="N1956" s="511"/>
      <c r="O1956" s="662"/>
      <c r="R1956" s="666"/>
    </row>
    <row r="1957" spans="2:18">
      <c r="B1957" s="660"/>
      <c r="C1957" s="164"/>
      <c r="D1957" s="661"/>
      <c r="G1957" s="661"/>
      <c r="J1957" s="164"/>
      <c r="K1957" s="664"/>
      <c r="L1957" s="664"/>
      <c r="M1957" s="164"/>
      <c r="N1957" s="511"/>
      <c r="O1957" s="662"/>
      <c r="R1957" s="666"/>
    </row>
    <row r="1958" spans="2:18">
      <c r="B1958" s="660"/>
      <c r="C1958" s="164"/>
      <c r="D1958" s="661"/>
      <c r="G1958" s="661"/>
      <c r="J1958" s="164"/>
      <c r="K1958" s="664"/>
      <c r="L1958" s="664"/>
      <c r="M1958" s="164"/>
      <c r="N1958" s="511"/>
      <c r="O1958" s="662"/>
      <c r="R1958" s="666"/>
    </row>
    <row r="1959" spans="2:18">
      <c r="B1959" s="660"/>
      <c r="C1959" s="164"/>
      <c r="D1959" s="661"/>
      <c r="G1959" s="661"/>
      <c r="J1959" s="164"/>
      <c r="K1959" s="664"/>
      <c r="L1959" s="664"/>
      <c r="M1959" s="164"/>
      <c r="N1959" s="511"/>
      <c r="O1959" s="662"/>
      <c r="R1959" s="666"/>
    </row>
    <row r="1960" spans="2:18">
      <c r="B1960" s="660"/>
      <c r="C1960" s="164"/>
      <c r="D1960" s="661"/>
      <c r="G1960" s="661"/>
      <c r="J1960" s="164"/>
      <c r="K1960" s="664"/>
      <c r="L1960" s="664"/>
      <c r="M1960" s="164"/>
      <c r="N1960" s="511"/>
      <c r="O1960" s="662"/>
      <c r="R1960" s="666"/>
    </row>
    <row r="1961" spans="2:18">
      <c r="B1961" s="660"/>
      <c r="C1961" s="164"/>
      <c r="D1961" s="661"/>
      <c r="G1961" s="661"/>
      <c r="J1961" s="164"/>
      <c r="K1961" s="664"/>
      <c r="L1961" s="664"/>
      <c r="M1961" s="164"/>
      <c r="N1961" s="511"/>
      <c r="O1961" s="662"/>
      <c r="R1961" s="666"/>
    </row>
    <row r="1962" spans="2:18">
      <c r="B1962" s="660"/>
      <c r="C1962" s="164"/>
      <c r="D1962" s="661"/>
      <c r="G1962" s="661"/>
      <c r="J1962" s="164"/>
      <c r="K1962" s="664"/>
      <c r="L1962" s="664"/>
      <c r="M1962" s="164"/>
      <c r="N1962" s="511"/>
      <c r="O1962" s="662"/>
      <c r="R1962" s="666"/>
    </row>
    <row r="1963" spans="2:18">
      <c r="B1963" s="660"/>
      <c r="C1963" s="164"/>
      <c r="D1963" s="661"/>
      <c r="G1963" s="661"/>
      <c r="J1963" s="164"/>
      <c r="K1963" s="664"/>
      <c r="L1963" s="664"/>
      <c r="M1963" s="164"/>
      <c r="N1963" s="511"/>
      <c r="O1963" s="662"/>
      <c r="R1963" s="666"/>
    </row>
    <row r="1964" spans="2:18">
      <c r="B1964" s="660"/>
      <c r="C1964" s="164"/>
      <c r="D1964" s="661"/>
      <c r="G1964" s="661"/>
      <c r="J1964" s="164"/>
      <c r="K1964" s="664"/>
      <c r="L1964" s="664"/>
      <c r="M1964" s="164"/>
      <c r="N1964" s="511"/>
      <c r="O1964" s="662"/>
      <c r="R1964" s="666"/>
    </row>
    <row r="1965" spans="2:18">
      <c r="B1965" s="660"/>
      <c r="C1965" s="164"/>
      <c r="D1965" s="661"/>
      <c r="G1965" s="661"/>
      <c r="J1965" s="164"/>
      <c r="K1965" s="664"/>
      <c r="L1965" s="664"/>
      <c r="M1965" s="164"/>
      <c r="N1965" s="511"/>
      <c r="O1965" s="662"/>
      <c r="R1965" s="666"/>
    </row>
    <row r="1966" spans="2:18">
      <c r="B1966" s="660"/>
      <c r="C1966" s="164"/>
      <c r="D1966" s="661"/>
      <c r="G1966" s="661"/>
      <c r="J1966" s="164"/>
      <c r="K1966" s="664"/>
      <c r="L1966" s="664"/>
      <c r="M1966" s="164"/>
      <c r="N1966" s="511"/>
      <c r="O1966" s="662"/>
      <c r="R1966" s="666"/>
    </row>
    <row r="1967" spans="2:18">
      <c r="B1967" s="660"/>
      <c r="C1967" s="164"/>
      <c r="D1967" s="661"/>
      <c r="G1967" s="661"/>
      <c r="J1967" s="164"/>
      <c r="K1967" s="664"/>
      <c r="L1967" s="664"/>
      <c r="M1967" s="164"/>
      <c r="N1967" s="511"/>
      <c r="O1967" s="662"/>
      <c r="R1967" s="666"/>
    </row>
    <row r="1968" spans="2:18">
      <c r="B1968" s="660"/>
      <c r="C1968" s="164"/>
      <c r="D1968" s="661"/>
      <c r="G1968" s="661"/>
      <c r="J1968" s="164"/>
      <c r="K1968" s="664"/>
      <c r="L1968" s="664"/>
      <c r="M1968" s="164"/>
      <c r="N1968" s="511"/>
      <c r="O1968" s="662"/>
      <c r="R1968" s="666"/>
    </row>
    <row r="1969" spans="2:18">
      <c r="B1969" s="660"/>
      <c r="C1969" s="164"/>
      <c r="D1969" s="661"/>
      <c r="G1969" s="661"/>
      <c r="J1969" s="164"/>
      <c r="K1969" s="664"/>
      <c r="L1969" s="664"/>
      <c r="M1969" s="164"/>
      <c r="N1969" s="511"/>
      <c r="O1969" s="662"/>
      <c r="R1969" s="666"/>
    </row>
    <row r="1970" spans="2:18">
      <c r="B1970" s="660"/>
      <c r="C1970" s="164"/>
      <c r="D1970" s="661"/>
      <c r="G1970" s="661"/>
      <c r="J1970" s="164"/>
      <c r="K1970" s="664"/>
      <c r="L1970" s="664"/>
      <c r="M1970" s="164"/>
      <c r="N1970" s="511"/>
      <c r="O1970" s="662"/>
      <c r="R1970" s="666"/>
    </row>
    <row r="1971" spans="2:18">
      <c r="B1971" s="660"/>
      <c r="C1971" s="164"/>
      <c r="D1971" s="661"/>
      <c r="G1971" s="661"/>
      <c r="J1971" s="164"/>
      <c r="K1971" s="664"/>
      <c r="L1971" s="664"/>
      <c r="M1971" s="164"/>
      <c r="N1971" s="511"/>
      <c r="O1971" s="662"/>
      <c r="R1971" s="666"/>
    </row>
    <row r="1972" spans="2:18">
      <c r="B1972" s="660"/>
      <c r="C1972" s="164"/>
      <c r="D1972" s="661"/>
      <c r="G1972" s="661"/>
      <c r="J1972" s="164"/>
      <c r="K1972" s="664"/>
      <c r="L1972" s="664"/>
      <c r="M1972" s="164"/>
      <c r="N1972" s="511"/>
      <c r="O1972" s="662"/>
      <c r="R1972" s="666"/>
    </row>
    <row r="1973" spans="2:18">
      <c r="B1973" s="660"/>
      <c r="C1973" s="164"/>
      <c r="D1973" s="661"/>
      <c r="G1973" s="661"/>
      <c r="J1973" s="164"/>
      <c r="K1973" s="664"/>
      <c r="L1973" s="664"/>
      <c r="M1973" s="164"/>
      <c r="N1973" s="511"/>
      <c r="O1973" s="662"/>
      <c r="R1973" s="666"/>
    </row>
    <row r="1974" spans="2:18">
      <c r="B1974" s="660"/>
      <c r="C1974" s="164"/>
      <c r="D1974" s="661"/>
      <c r="G1974" s="661"/>
      <c r="J1974" s="164"/>
      <c r="K1974" s="664"/>
      <c r="L1974" s="664"/>
      <c r="M1974" s="164"/>
      <c r="N1974" s="511"/>
      <c r="O1974" s="662"/>
      <c r="R1974" s="666"/>
    </row>
    <row r="1975" spans="2:18">
      <c r="B1975" s="660"/>
      <c r="C1975" s="164"/>
      <c r="D1975" s="661"/>
      <c r="G1975" s="661"/>
      <c r="J1975" s="164"/>
      <c r="K1975" s="664"/>
      <c r="L1975" s="664"/>
      <c r="M1975" s="164"/>
      <c r="N1975" s="511"/>
      <c r="O1975" s="662"/>
      <c r="R1975" s="666"/>
    </row>
    <row r="1976" spans="2:18">
      <c r="B1976" s="660"/>
      <c r="C1976" s="164"/>
      <c r="D1976" s="661"/>
      <c r="G1976" s="661"/>
      <c r="J1976" s="164"/>
      <c r="K1976" s="664"/>
      <c r="L1976" s="664"/>
      <c r="M1976" s="164"/>
      <c r="N1976" s="511"/>
      <c r="O1976" s="662"/>
      <c r="R1976" s="666"/>
    </row>
    <row r="1977" spans="2:18">
      <c r="B1977" s="660"/>
      <c r="C1977" s="164"/>
      <c r="D1977" s="661"/>
      <c r="G1977" s="661"/>
      <c r="J1977" s="164"/>
      <c r="K1977" s="664"/>
      <c r="L1977" s="664"/>
      <c r="M1977" s="164"/>
      <c r="N1977" s="511"/>
      <c r="O1977" s="662"/>
      <c r="R1977" s="666"/>
    </row>
    <row r="1978" spans="2:18">
      <c r="B1978" s="660"/>
      <c r="C1978" s="164"/>
      <c r="D1978" s="661"/>
      <c r="G1978" s="661"/>
      <c r="J1978" s="164"/>
      <c r="K1978" s="664"/>
      <c r="L1978" s="664"/>
      <c r="M1978" s="164"/>
      <c r="N1978" s="511"/>
      <c r="O1978" s="662"/>
      <c r="R1978" s="666"/>
    </row>
    <row r="1979" spans="2:18">
      <c r="B1979" s="660"/>
      <c r="C1979" s="164"/>
      <c r="D1979" s="661"/>
      <c r="G1979" s="661"/>
      <c r="J1979" s="164"/>
      <c r="K1979" s="664"/>
      <c r="L1979" s="664"/>
      <c r="M1979" s="164"/>
      <c r="N1979" s="511"/>
      <c r="O1979" s="662"/>
      <c r="R1979" s="666"/>
    </row>
    <row r="1980" spans="2:18">
      <c r="B1980" s="660"/>
      <c r="C1980" s="164"/>
      <c r="D1980" s="661"/>
      <c r="G1980" s="661"/>
      <c r="J1980" s="164"/>
      <c r="K1980" s="664"/>
      <c r="L1980" s="664"/>
      <c r="M1980" s="164"/>
      <c r="N1980" s="511"/>
      <c r="O1980" s="662"/>
      <c r="R1980" s="666"/>
    </row>
    <row r="1981" spans="2:18">
      <c r="B1981" s="660"/>
      <c r="C1981" s="164"/>
      <c r="D1981" s="661"/>
      <c r="G1981" s="661"/>
      <c r="J1981" s="164"/>
      <c r="K1981" s="664"/>
      <c r="L1981" s="664"/>
      <c r="M1981" s="164"/>
      <c r="N1981" s="511"/>
      <c r="O1981" s="662"/>
      <c r="R1981" s="666"/>
    </row>
    <row r="1982" spans="2:18">
      <c r="B1982" s="660"/>
      <c r="C1982" s="164"/>
      <c r="D1982" s="661"/>
      <c r="G1982" s="661"/>
      <c r="J1982" s="164"/>
      <c r="K1982" s="664"/>
      <c r="L1982" s="664"/>
      <c r="M1982" s="164"/>
      <c r="N1982" s="511"/>
      <c r="O1982" s="662"/>
      <c r="R1982" s="666"/>
    </row>
    <row r="1983" spans="2:18">
      <c r="B1983" s="660"/>
      <c r="C1983" s="164"/>
      <c r="D1983" s="661"/>
      <c r="G1983" s="661"/>
      <c r="J1983" s="164"/>
      <c r="K1983" s="664"/>
      <c r="L1983" s="664"/>
      <c r="M1983" s="164"/>
      <c r="N1983" s="511"/>
      <c r="O1983" s="662"/>
      <c r="R1983" s="666"/>
    </row>
    <row r="1984" spans="2:18">
      <c r="B1984" s="660"/>
      <c r="C1984" s="164"/>
      <c r="D1984" s="661"/>
      <c r="G1984" s="661"/>
      <c r="J1984" s="164"/>
      <c r="K1984" s="664"/>
      <c r="L1984" s="664"/>
      <c r="M1984" s="164"/>
      <c r="N1984" s="511"/>
      <c r="O1984" s="662"/>
      <c r="R1984" s="666"/>
    </row>
    <row r="1985" spans="2:18">
      <c r="B1985" s="660"/>
      <c r="C1985" s="164"/>
      <c r="D1985" s="661"/>
      <c r="G1985" s="661"/>
      <c r="J1985" s="164"/>
      <c r="K1985" s="664"/>
      <c r="L1985" s="664"/>
      <c r="M1985" s="164"/>
      <c r="N1985" s="511"/>
      <c r="O1985" s="662"/>
      <c r="R1985" s="666"/>
    </row>
    <row r="1986" spans="2:18">
      <c r="B1986" s="660"/>
      <c r="C1986" s="164"/>
      <c r="D1986" s="661"/>
      <c r="G1986" s="661"/>
      <c r="J1986" s="164"/>
      <c r="K1986" s="664"/>
      <c r="L1986" s="664"/>
      <c r="M1986" s="164"/>
      <c r="N1986" s="511"/>
      <c r="O1986" s="662"/>
      <c r="R1986" s="666"/>
    </row>
    <row r="1987" spans="2:18">
      <c r="B1987" s="660"/>
      <c r="C1987" s="164"/>
      <c r="D1987" s="661"/>
      <c r="G1987" s="661"/>
      <c r="J1987" s="164"/>
      <c r="K1987" s="664"/>
      <c r="L1987" s="664"/>
      <c r="M1987" s="164"/>
      <c r="N1987" s="511"/>
      <c r="O1987" s="662"/>
      <c r="R1987" s="666"/>
    </row>
    <row r="1988" spans="2:18">
      <c r="B1988" s="660"/>
      <c r="C1988" s="164"/>
      <c r="D1988" s="661"/>
      <c r="G1988" s="661"/>
      <c r="J1988" s="164"/>
      <c r="K1988" s="664"/>
      <c r="L1988" s="664"/>
      <c r="M1988" s="164"/>
      <c r="N1988" s="511"/>
      <c r="O1988" s="662"/>
      <c r="R1988" s="666"/>
    </row>
    <row r="1989" spans="2:18">
      <c r="B1989" s="660"/>
      <c r="C1989" s="164"/>
      <c r="D1989" s="661"/>
      <c r="G1989" s="661"/>
      <c r="J1989" s="164"/>
      <c r="K1989" s="664"/>
      <c r="L1989" s="664"/>
      <c r="M1989" s="164"/>
      <c r="N1989" s="511"/>
      <c r="O1989" s="662"/>
      <c r="R1989" s="666"/>
    </row>
    <row r="1990" spans="2:18">
      <c r="B1990" s="660"/>
      <c r="C1990" s="164"/>
      <c r="D1990" s="661"/>
      <c r="G1990" s="661"/>
      <c r="J1990" s="164"/>
      <c r="K1990" s="664"/>
      <c r="L1990" s="664"/>
      <c r="M1990" s="164"/>
      <c r="N1990" s="511"/>
      <c r="O1990" s="662"/>
      <c r="R1990" s="666"/>
    </row>
    <row r="1991" spans="2:18">
      <c r="B1991" s="660"/>
      <c r="C1991" s="164"/>
      <c r="D1991" s="661"/>
      <c r="G1991" s="661"/>
      <c r="J1991" s="164"/>
      <c r="K1991" s="664"/>
      <c r="L1991" s="664"/>
      <c r="M1991" s="164"/>
      <c r="N1991" s="511"/>
      <c r="O1991" s="662"/>
      <c r="R1991" s="666"/>
    </row>
    <row r="1992" spans="2:18">
      <c r="B1992" s="660"/>
      <c r="C1992" s="164"/>
      <c r="D1992" s="661"/>
      <c r="G1992" s="661"/>
      <c r="J1992" s="164"/>
      <c r="K1992" s="664"/>
      <c r="L1992" s="664"/>
      <c r="M1992" s="164"/>
      <c r="N1992" s="511"/>
      <c r="O1992" s="662"/>
      <c r="R1992" s="666"/>
    </row>
    <row r="1993" spans="2:18">
      <c r="B1993" s="660"/>
      <c r="C1993" s="164"/>
      <c r="D1993" s="661"/>
      <c r="G1993" s="661"/>
      <c r="J1993" s="164"/>
      <c r="K1993" s="664"/>
      <c r="L1993" s="664"/>
      <c r="M1993" s="164"/>
      <c r="N1993" s="511"/>
      <c r="O1993" s="662"/>
      <c r="R1993" s="666"/>
    </row>
    <row r="1994" spans="2:18">
      <c r="B1994" s="660"/>
      <c r="C1994" s="164"/>
      <c r="D1994" s="661"/>
      <c r="G1994" s="661"/>
      <c r="J1994" s="164"/>
      <c r="K1994" s="664"/>
      <c r="L1994" s="664"/>
      <c r="M1994" s="164"/>
      <c r="N1994" s="511"/>
      <c r="O1994" s="662"/>
      <c r="R1994" s="666"/>
    </row>
    <row r="1995" spans="2:18">
      <c r="B1995" s="660"/>
      <c r="C1995" s="164"/>
      <c r="D1995" s="661"/>
      <c r="G1995" s="661"/>
      <c r="J1995" s="164"/>
      <c r="K1995" s="664"/>
      <c r="L1995" s="664"/>
      <c r="M1995" s="164"/>
      <c r="N1995" s="511"/>
      <c r="O1995" s="662"/>
      <c r="R1995" s="666"/>
    </row>
    <row r="1996" spans="2:18">
      <c r="B1996" s="660"/>
      <c r="C1996" s="164"/>
      <c r="D1996" s="661"/>
      <c r="G1996" s="661"/>
      <c r="J1996" s="164"/>
      <c r="K1996" s="664"/>
      <c r="L1996" s="664"/>
      <c r="M1996" s="164"/>
      <c r="N1996" s="511"/>
      <c r="O1996" s="662"/>
      <c r="R1996" s="666"/>
    </row>
    <row r="1997" spans="2:18">
      <c r="B1997" s="660"/>
      <c r="C1997" s="164"/>
      <c r="D1997" s="661"/>
      <c r="G1997" s="661"/>
      <c r="J1997" s="164"/>
      <c r="K1997" s="664"/>
      <c r="L1997" s="664"/>
      <c r="M1997" s="164"/>
      <c r="N1997" s="511"/>
      <c r="O1997" s="662"/>
      <c r="R1997" s="666"/>
    </row>
    <row r="1998" spans="2:18">
      <c r="B1998" s="660"/>
      <c r="C1998" s="164"/>
      <c r="D1998" s="661"/>
      <c r="G1998" s="661"/>
      <c r="J1998" s="164"/>
      <c r="K1998" s="664"/>
      <c r="L1998" s="664"/>
      <c r="M1998" s="164"/>
      <c r="N1998" s="511"/>
      <c r="O1998" s="662"/>
      <c r="R1998" s="666"/>
    </row>
    <row r="1999" spans="2:18">
      <c r="B1999" s="660"/>
      <c r="C1999" s="164"/>
      <c r="D1999" s="661"/>
      <c r="G1999" s="661"/>
      <c r="J1999" s="164"/>
      <c r="K1999" s="664"/>
      <c r="L1999" s="664"/>
      <c r="M1999" s="164"/>
      <c r="N1999" s="511"/>
      <c r="O1999" s="662"/>
      <c r="R1999" s="666"/>
    </row>
    <row r="2000" spans="2:18">
      <c r="B2000" s="660"/>
      <c r="C2000" s="164"/>
      <c r="D2000" s="661"/>
      <c r="G2000" s="661"/>
      <c r="J2000" s="164"/>
      <c r="K2000" s="664"/>
      <c r="L2000" s="664"/>
      <c r="M2000" s="164"/>
      <c r="N2000" s="511"/>
      <c r="O2000" s="662"/>
      <c r="R2000" s="666"/>
    </row>
    <row r="2001" spans="2:18">
      <c r="B2001" s="660"/>
      <c r="C2001" s="164"/>
      <c r="D2001" s="661"/>
      <c r="G2001" s="661"/>
      <c r="J2001" s="164"/>
      <c r="K2001" s="664"/>
      <c r="L2001" s="664"/>
      <c r="M2001" s="164"/>
      <c r="N2001" s="511"/>
      <c r="O2001" s="662"/>
      <c r="R2001" s="666"/>
    </row>
    <row r="2002" spans="2:18">
      <c r="B2002" s="660"/>
      <c r="C2002" s="164"/>
      <c r="D2002" s="661"/>
      <c r="G2002" s="661"/>
      <c r="J2002" s="164"/>
      <c r="K2002" s="664"/>
      <c r="L2002" s="664"/>
      <c r="M2002" s="164"/>
      <c r="N2002" s="511"/>
      <c r="O2002" s="662"/>
      <c r="R2002" s="666"/>
    </row>
    <row r="2003" spans="2:18">
      <c r="B2003" s="660"/>
      <c r="C2003" s="164"/>
      <c r="D2003" s="661"/>
      <c r="G2003" s="661"/>
      <c r="J2003" s="164"/>
      <c r="K2003" s="664"/>
      <c r="L2003" s="664"/>
      <c r="M2003" s="164"/>
      <c r="N2003" s="511"/>
      <c r="O2003" s="662"/>
      <c r="R2003" s="666"/>
    </row>
    <row r="2004" spans="2:18">
      <c r="B2004" s="660"/>
      <c r="C2004" s="164"/>
      <c r="D2004" s="661"/>
      <c r="G2004" s="661"/>
      <c r="J2004" s="164"/>
      <c r="K2004" s="664"/>
      <c r="L2004" s="664"/>
      <c r="M2004" s="164"/>
      <c r="N2004" s="511"/>
      <c r="O2004" s="662"/>
      <c r="R2004" s="666"/>
    </row>
    <row r="2005" spans="2:18">
      <c r="B2005" s="660"/>
      <c r="C2005" s="164"/>
      <c r="D2005" s="661"/>
      <c r="G2005" s="661"/>
      <c r="J2005" s="164"/>
      <c r="K2005" s="664"/>
      <c r="L2005" s="664"/>
      <c r="M2005" s="164"/>
      <c r="N2005" s="511"/>
      <c r="O2005" s="662"/>
      <c r="R2005" s="666"/>
    </row>
    <row r="2006" spans="2:18">
      <c r="B2006" s="660"/>
      <c r="C2006" s="164"/>
      <c r="D2006" s="661"/>
      <c r="G2006" s="661"/>
      <c r="J2006" s="164"/>
      <c r="K2006" s="664"/>
      <c r="L2006" s="664"/>
      <c r="M2006" s="164"/>
      <c r="N2006" s="511"/>
      <c r="O2006" s="662"/>
      <c r="R2006" s="666"/>
    </row>
    <row r="2007" spans="2:18">
      <c r="B2007" s="660"/>
      <c r="C2007" s="164"/>
      <c r="D2007" s="661"/>
      <c r="G2007" s="661"/>
      <c r="J2007" s="164"/>
      <c r="K2007" s="664"/>
      <c r="L2007" s="664"/>
      <c r="M2007" s="164"/>
      <c r="N2007" s="511"/>
      <c r="O2007" s="662"/>
      <c r="R2007" s="666"/>
    </row>
    <row r="2008" spans="2:18">
      <c r="B2008" s="660"/>
      <c r="C2008" s="164"/>
      <c r="D2008" s="661"/>
      <c r="G2008" s="661"/>
      <c r="J2008" s="164"/>
      <c r="K2008" s="664"/>
      <c r="L2008" s="664"/>
      <c r="M2008" s="164"/>
      <c r="N2008" s="511"/>
      <c r="O2008" s="662"/>
      <c r="R2008" s="666"/>
    </row>
    <row r="2009" spans="2:18">
      <c r="B2009" s="660"/>
      <c r="C2009" s="164"/>
      <c r="D2009" s="661"/>
      <c r="G2009" s="661"/>
      <c r="J2009" s="164"/>
      <c r="K2009" s="664"/>
      <c r="L2009" s="664"/>
      <c r="M2009" s="164"/>
      <c r="N2009" s="511"/>
      <c r="O2009" s="662"/>
      <c r="R2009" s="666"/>
    </row>
    <row r="2010" spans="2:18">
      <c r="B2010" s="660"/>
      <c r="C2010" s="164"/>
      <c r="D2010" s="661"/>
      <c r="G2010" s="661"/>
      <c r="J2010" s="164"/>
      <c r="K2010" s="664"/>
      <c r="L2010" s="664"/>
      <c r="M2010" s="164"/>
      <c r="N2010" s="511"/>
      <c r="O2010" s="662"/>
      <c r="R2010" s="666"/>
    </row>
    <row r="2011" spans="2:18">
      <c r="B2011" s="660"/>
      <c r="C2011" s="164"/>
      <c r="D2011" s="661"/>
      <c r="G2011" s="661"/>
      <c r="J2011" s="164"/>
      <c r="K2011" s="664"/>
      <c r="L2011" s="664"/>
      <c r="M2011" s="164"/>
      <c r="N2011" s="511"/>
      <c r="O2011" s="662"/>
      <c r="R2011" s="666"/>
    </row>
    <row r="2012" spans="2:18">
      <c r="B2012" s="660"/>
      <c r="C2012" s="164"/>
      <c r="D2012" s="661"/>
      <c r="G2012" s="661"/>
      <c r="J2012" s="164"/>
      <c r="K2012" s="664"/>
      <c r="L2012" s="664"/>
      <c r="M2012" s="164"/>
      <c r="N2012" s="511"/>
      <c r="O2012" s="662"/>
      <c r="R2012" s="666"/>
    </row>
    <row r="2013" spans="2:18">
      <c r="B2013" s="660"/>
      <c r="C2013" s="164"/>
      <c r="D2013" s="661"/>
      <c r="G2013" s="661"/>
      <c r="J2013" s="164"/>
      <c r="K2013" s="664"/>
      <c r="L2013" s="664"/>
      <c r="M2013" s="164"/>
      <c r="N2013" s="511"/>
      <c r="O2013" s="662"/>
      <c r="R2013" s="666"/>
    </row>
    <row r="2014" spans="2:18">
      <c r="B2014" s="660"/>
      <c r="C2014" s="164"/>
      <c r="D2014" s="661"/>
      <c r="G2014" s="661"/>
      <c r="J2014" s="164"/>
      <c r="K2014" s="664"/>
      <c r="L2014" s="664"/>
      <c r="M2014" s="164"/>
      <c r="N2014" s="511"/>
      <c r="O2014" s="662"/>
      <c r="R2014" s="666"/>
    </row>
    <row r="2015" spans="2:18">
      <c r="B2015" s="660"/>
      <c r="C2015" s="164"/>
      <c r="D2015" s="661"/>
      <c r="G2015" s="661"/>
      <c r="J2015" s="164"/>
      <c r="K2015" s="664"/>
      <c r="L2015" s="664"/>
      <c r="M2015" s="164"/>
      <c r="N2015" s="511"/>
      <c r="O2015" s="662"/>
      <c r="R2015" s="666"/>
    </row>
    <row r="2016" spans="2:18">
      <c r="B2016" s="660"/>
      <c r="C2016" s="164"/>
      <c r="D2016" s="661"/>
      <c r="G2016" s="661"/>
      <c r="J2016" s="164"/>
      <c r="K2016" s="664"/>
      <c r="L2016" s="664"/>
      <c r="M2016" s="164"/>
      <c r="N2016" s="511"/>
      <c r="O2016" s="662"/>
      <c r="R2016" s="666"/>
    </row>
    <row r="2017" spans="2:18">
      <c r="B2017" s="660"/>
      <c r="C2017" s="164"/>
      <c r="D2017" s="661"/>
      <c r="G2017" s="661"/>
      <c r="J2017" s="164"/>
      <c r="K2017" s="664"/>
      <c r="L2017" s="664"/>
      <c r="M2017" s="164"/>
      <c r="N2017" s="511"/>
      <c r="O2017" s="662"/>
      <c r="R2017" s="666"/>
    </row>
    <row r="2018" spans="2:18">
      <c r="B2018" s="660"/>
      <c r="C2018" s="164"/>
      <c r="D2018" s="661"/>
      <c r="G2018" s="661"/>
      <c r="J2018" s="164"/>
      <c r="K2018" s="664"/>
      <c r="L2018" s="664"/>
      <c r="M2018" s="164"/>
      <c r="N2018" s="511"/>
      <c r="O2018" s="662"/>
      <c r="R2018" s="666"/>
    </row>
    <row r="2019" spans="2:18">
      <c r="B2019" s="660"/>
      <c r="C2019" s="164"/>
      <c r="D2019" s="661"/>
      <c r="G2019" s="661"/>
      <c r="J2019" s="164"/>
      <c r="K2019" s="664"/>
      <c r="L2019" s="664"/>
      <c r="M2019" s="164"/>
      <c r="N2019" s="511"/>
      <c r="O2019" s="662"/>
      <c r="R2019" s="666"/>
    </row>
    <row r="2020" spans="2:18">
      <c r="B2020" s="660"/>
      <c r="C2020" s="164"/>
      <c r="D2020" s="661"/>
      <c r="G2020" s="661"/>
      <c r="J2020" s="164"/>
      <c r="K2020" s="664"/>
      <c r="L2020" s="664"/>
      <c r="M2020" s="164"/>
      <c r="N2020" s="511"/>
      <c r="O2020" s="662"/>
      <c r="R2020" s="666"/>
    </row>
    <row r="2021" spans="2:18">
      <c r="B2021" s="660"/>
      <c r="C2021" s="164"/>
      <c r="D2021" s="661"/>
      <c r="G2021" s="661"/>
      <c r="J2021" s="164"/>
      <c r="K2021" s="664"/>
      <c r="L2021" s="664"/>
      <c r="M2021" s="164"/>
      <c r="N2021" s="511"/>
      <c r="O2021" s="662"/>
      <c r="R2021" s="666"/>
    </row>
    <row r="2022" spans="2:18">
      <c r="B2022" s="660"/>
      <c r="C2022" s="164"/>
      <c r="D2022" s="661"/>
      <c r="G2022" s="661"/>
      <c r="J2022" s="164"/>
      <c r="K2022" s="664"/>
      <c r="L2022" s="664"/>
      <c r="M2022" s="164"/>
      <c r="N2022" s="511"/>
      <c r="O2022" s="662"/>
      <c r="R2022" s="666"/>
    </row>
    <row r="2023" spans="2:18">
      <c r="B2023" s="660"/>
      <c r="C2023" s="164"/>
      <c r="D2023" s="661"/>
      <c r="G2023" s="661"/>
      <c r="J2023" s="164"/>
      <c r="K2023" s="664"/>
      <c r="L2023" s="664"/>
      <c r="M2023" s="164"/>
      <c r="N2023" s="511"/>
      <c r="O2023" s="662"/>
      <c r="R2023" s="666"/>
    </row>
    <row r="2024" spans="2:18">
      <c r="B2024" s="660"/>
      <c r="C2024" s="164"/>
      <c r="D2024" s="661"/>
      <c r="G2024" s="661"/>
      <c r="J2024" s="164"/>
      <c r="K2024" s="664"/>
      <c r="L2024" s="664"/>
      <c r="M2024" s="164"/>
      <c r="N2024" s="511"/>
      <c r="O2024" s="662"/>
      <c r="R2024" s="666"/>
    </row>
    <row r="2025" spans="2:18">
      <c r="B2025" s="660"/>
      <c r="C2025" s="164"/>
      <c r="D2025" s="661"/>
      <c r="G2025" s="661"/>
      <c r="J2025" s="164"/>
      <c r="K2025" s="664"/>
      <c r="L2025" s="664"/>
      <c r="M2025" s="164"/>
      <c r="N2025" s="511"/>
      <c r="O2025" s="662"/>
      <c r="R2025" s="666"/>
    </row>
    <row r="2026" spans="2:18">
      <c r="B2026" s="660"/>
      <c r="C2026" s="164"/>
      <c r="D2026" s="661"/>
      <c r="G2026" s="661"/>
      <c r="J2026" s="164"/>
      <c r="K2026" s="664"/>
      <c r="L2026" s="664"/>
      <c r="M2026" s="164"/>
      <c r="N2026" s="511"/>
      <c r="O2026" s="662"/>
      <c r="R2026" s="666"/>
    </row>
    <row r="2027" spans="2:18">
      <c r="B2027" s="660"/>
      <c r="C2027" s="164"/>
      <c r="D2027" s="661"/>
      <c r="G2027" s="661"/>
      <c r="J2027" s="164"/>
      <c r="K2027" s="664"/>
      <c r="L2027" s="664"/>
      <c r="M2027" s="164"/>
      <c r="N2027" s="511"/>
      <c r="O2027" s="662"/>
      <c r="R2027" s="666"/>
    </row>
    <row r="2028" spans="2:18">
      <c r="B2028" s="660"/>
      <c r="C2028" s="164"/>
      <c r="D2028" s="661"/>
      <c r="G2028" s="661"/>
      <c r="J2028" s="164"/>
      <c r="K2028" s="664"/>
      <c r="L2028" s="664"/>
      <c r="M2028" s="164"/>
      <c r="N2028" s="511"/>
      <c r="O2028" s="662"/>
      <c r="R2028" s="666"/>
    </row>
    <row r="2029" spans="2:18">
      <c r="B2029" s="660"/>
      <c r="C2029" s="164"/>
      <c r="D2029" s="661"/>
      <c r="G2029" s="661"/>
      <c r="J2029" s="164"/>
      <c r="K2029" s="664"/>
      <c r="L2029" s="664"/>
      <c r="M2029" s="164"/>
      <c r="N2029" s="511"/>
      <c r="O2029" s="662"/>
      <c r="R2029" s="666"/>
    </row>
    <row r="2030" spans="2:18">
      <c r="B2030" s="660"/>
      <c r="C2030" s="164"/>
      <c r="D2030" s="661"/>
      <c r="G2030" s="661"/>
      <c r="J2030" s="164"/>
      <c r="K2030" s="664"/>
      <c r="L2030" s="664"/>
      <c r="M2030" s="164"/>
      <c r="N2030" s="511"/>
      <c r="O2030" s="662"/>
      <c r="R2030" s="666"/>
    </row>
    <row r="2031" spans="2:18">
      <c r="B2031" s="660"/>
      <c r="C2031" s="164"/>
      <c r="D2031" s="661"/>
      <c r="G2031" s="661"/>
      <c r="J2031" s="164"/>
      <c r="K2031" s="664"/>
      <c r="L2031" s="664"/>
      <c r="M2031" s="164"/>
      <c r="N2031" s="511"/>
      <c r="O2031" s="662"/>
      <c r="R2031" s="666"/>
    </row>
    <row r="2032" spans="2:18">
      <c r="B2032" s="660"/>
      <c r="C2032" s="164"/>
      <c r="D2032" s="661"/>
      <c r="G2032" s="661"/>
      <c r="J2032" s="164"/>
      <c r="K2032" s="664"/>
      <c r="L2032" s="664"/>
      <c r="M2032" s="164"/>
      <c r="N2032" s="511"/>
      <c r="O2032" s="662"/>
      <c r="R2032" s="666"/>
    </row>
    <row r="2033" spans="2:18">
      <c r="B2033" s="660"/>
      <c r="C2033" s="164"/>
      <c r="D2033" s="661"/>
      <c r="G2033" s="661"/>
      <c r="J2033" s="164"/>
      <c r="K2033" s="664"/>
      <c r="L2033" s="664"/>
      <c r="M2033" s="164"/>
      <c r="N2033" s="511"/>
      <c r="O2033" s="662"/>
      <c r="R2033" s="666"/>
    </row>
    <row r="2034" spans="2:18">
      <c r="B2034" s="660"/>
      <c r="C2034" s="164"/>
      <c r="D2034" s="661"/>
      <c r="G2034" s="661"/>
      <c r="J2034" s="164"/>
      <c r="K2034" s="664"/>
      <c r="L2034" s="664"/>
      <c r="M2034" s="164"/>
      <c r="N2034" s="511"/>
      <c r="O2034" s="662"/>
      <c r="R2034" s="666"/>
    </row>
    <row r="2035" spans="2:18">
      <c r="B2035" s="660"/>
      <c r="C2035" s="164"/>
      <c r="D2035" s="661"/>
      <c r="G2035" s="661"/>
      <c r="J2035" s="164"/>
      <c r="K2035" s="664"/>
      <c r="L2035" s="664"/>
      <c r="M2035" s="164"/>
      <c r="N2035" s="511"/>
      <c r="O2035" s="662"/>
      <c r="R2035" s="666"/>
    </row>
    <row r="2036" spans="2:18">
      <c r="B2036" s="660"/>
      <c r="C2036" s="164"/>
      <c r="D2036" s="661"/>
      <c r="G2036" s="661"/>
      <c r="J2036" s="164"/>
      <c r="K2036" s="664"/>
      <c r="L2036" s="664"/>
      <c r="M2036" s="164"/>
      <c r="N2036" s="511"/>
      <c r="O2036" s="662"/>
      <c r="R2036" s="666"/>
    </row>
    <row r="2037" spans="2:18">
      <c r="B2037" s="660"/>
      <c r="C2037" s="164"/>
      <c r="D2037" s="661"/>
      <c r="G2037" s="661"/>
      <c r="J2037" s="164"/>
      <c r="K2037" s="664"/>
      <c r="L2037" s="664"/>
      <c r="M2037" s="164"/>
      <c r="N2037" s="511"/>
      <c r="O2037" s="662"/>
      <c r="R2037" s="666"/>
    </row>
    <row r="2038" spans="2:18">
      <c r="B2038" s="660"/>
      <c r="C2038" s="164"/>
      <c r="D2038" s="661"/>
      <c r="G2038" s="661"/>
      <c r="J2038" s="164"/>
      <c r="K2038" s="664"/>
      <c r="L2038" s="664"/>
      <c r="M2038" s="164"/>
      <c r="N2038" s="511"/>
      <c r="O2038" s="662"/>
      <c r="R2038" s="666"/>
    </row>
    <row r="2039" spans="2:18">
      <c r="B2039" s="660"/>
      <c r="C2039" s="164"/>
      <c r="D2039" s="661"/>
      <c r="G2039" s="661"/>
      <c r="J2039" s="164"/>
      <c r="K2039" s="664"/>
      <c r="L2039" s="664"/>
      <c r="M2039" s="164"/>
      <c r="N2039" s="511"/>
      <c r="O2039" s="662"/>
      <c r="R2039" s="666"/>
    </row>
    <row r="2040" spans="2:18">
      <c r="B2040" s="660"/>
      <c r="C2040" s="164"/>
      <c r="D2040" s="661"/>
      <c r="G2040" s="661"/>
      <c r="J2040" s="164"/>
      <c r="K2040" s="664"/>
      <c r="L2040" s="664"/>
      <c r="M2040" s="164"/>
      <c r="N2040" s="511"/>
      <c r="O2040" s="662"/>
      <c r="R2040" s="666"/>
    </row>
    <row r="2041" spans="2:18">
      <c r="B2041" s="660"/>
      <c r="C2041" s="164"/>
      <c r="D2041" s="661"/>
      <c r="G2041" s="661"/>
      <c r="J2041" s="164"/>
      <c r="K2041" s="664"/>
      <c r="L2041" s="664"/>
      <c r="M2041" s="164"/>
      <c r="N2041" s="511"/>
      <c r="O2041" s="662"/>
      <c r="R2041" s="666"/>
    </row>
    <row r="2042" spans="2:18">
      <c r="B2042" s="660"/>
      <c r="C2042" s="164"/>
      <c r="D2042" s="661"/>
      <c r="G2042" s="661"/>
      <c r="J2042" s="164"/>
      <c r="K2042" s="664"/>
      <c r="L2042" s="664"/>
      <c r="M2042" s="164"/>
      <c r="N2042" s="511"/>
      <c r="O2042" s="662"/>
      <c r="R2042" s="666"/>
    </row>
    <row r="2043" spans="2:18">
      <c r="B2043" s="660"/>
      <c r="C2043" s="164"/>
      <c r="D2043" s="661"/>
      <c r="G2043" s="661"/>
      <c r="J2043" s="164"/>
      <c r="K2043" s="664"/>
      <c r="L2043" s="664"/>
      <c r="M2043" s="164"/>
      <c r="N2043" s="511"/>
      <c r="O2043" s="662"/>
      <c r="R2043" s="666"/>
    </row>
    <row r="2044" spans="2:18">
      <c r="B2044" s="660"/>
      <c r="C2044" s="164"/>
      <c r="D2044" s="661"/>
      <c r="G2044" s="661"/>
      <c r="J2044" s="164"/>
      <c r="K2044" s="664"/>
      <c r="L2044" s="664"/>
      <c r="M2044" s="164"/>
      <c r="N2044" s="511"/>
      <c r="O2044" s="662"/>
      <c r="R2044" s="666"/>
    </row>
    <row r="2045" spans="2:18">
      <c r="B2045" s="660"/>
      <c r="C2045" s="164"/>
      <c r="D2045" s="661"/>
      <c r="G2045" s="661"/>
      <c r="J2045" s="164"/>
      <c r="K2045" s="664"/>
      <c r="L2045" s="664"/>
      <c r="M2045" s="164"/>
      <c r="N2045" s="511"/>
      <c r="O2045" s="662"/>
      <c r="R2045" s="666"/>
    </row>
    <row r="2046" spans="2:18">
      <c r="B2046" s="660"/>
      <c r="C2046" s="164"/>
      <c r="D2046" s="661"/>
      <c r="G2046" s="661"/>
      <c r="J2046" s="164"/>
      <c r="K2046" s="664"/>
      <c r="L2046" s="664"/>
      <c r="M2046" s="164"/>
      <c r="N2046" s="511"/>
      <c r="O2046" s="662"/>
      <c r="R2046" s="666"/>
    </row>
    <row r="2047" spans="2:18">
      <c r="B2047" s="660"/>
      <c r="C2047" s="164"/>
      <c r="D2047" s="661"/>
      <c r="G2047" s="661"/>
      <c r="J2047" s="164"/>
      <c r="K2047" s="664"/>
      <c r="L2047" s="664"/>
      <c r="M2047" s="164"/>
      <c r="N2047" s="511"/>
      <c r="O2047" s="662"/>
      <c r="R2047" s="666"/>
    </row>
    <row r="2048" spans="2:18">
      <c r="B2048" s="660"/>
      <c r="C2048" s="164"/>
      <c r="D2048" s="661"/>
      <c r="G2048" s="661"/>
      <c r="J2048" s="164"/>
      <c r="K2048" s="664"/>
      <c r="L2048" s="664"/>
      <c r="M2048" s="164"/>
      <c r="N2048" s="511"/>
      <c r="O2048" s="662"/>
      <c r="R2048" s="666"/>
    </row>
    <row r="2049" spans="2:18">
      <c r="B2049" s="660"/>
      <c r="C2049" s="164"/>
      <c r="D2049" s="661"/>
      <c r="G2049" s="661"/>
      <c r="J2049" s="164"/>
      <c r="K2049" s="664"/>
      <c r="L2049" s="664"/>
      <c r="M2049" s="164"/>
      <c r="N2049" s="511"/>
      <c r="O2049" s="662"/>
      <c r="R2049" s="666"/>
    </row>
    <row r="2050" spans="2:18">
      <c r="B2050" s="660"/>
      <c r="C2050" s="164"/>
      <c r="D2050" s="661"/>
      <c r="G2050" s="661"/>
      <c r="J2050" s="164"/>
      <c r="K2050" s="664"/>
      <c r="L2050" s="664"/>
      <c r="M2050" s="164"/>
      <c r="N2050" s="511"/>
      <c r="O2050" s="662"/>
      <c r="R2050" s="666"/>
    </row>
    <row r="2051" spans="2:18">
      <c r="B2051" s="660"/>
      <c r="C2051" s="164"/>
      <c r="D2051" s="661"/>
      <c r="G2051" s="661"/>
      <c r="J2051" s="164"/>
      <c r="K2051" s="664"/>
      <c r="L2051" s="664"/>
      <c r="M2051" s="164"/>
      <c r="N2051" s="511"/>
      <c r="O2051" s="662"/>
      <c r="R2051" s="666"/>
    </row>
    <row r="2052" spans="2:18">
      <c r="B2052" s="660"/>
      <c r="C2052" s="164"/>
      <c r="D2052" s="661"/>
      <c r="G2052" s="661"/>
      <c r="J2052" s="164"/>
      <c r="K2052" s="664"/>
      <c r="L2052" s="664"/>
      <c r="M2052" s="164"/>
      <c r="N2052" s="511"/>
      <c r="O2052" s="662"/>
      <c r="R2052" s="666"/>
    </row>
    <row r="2053" spans="2:18">
      <c r="B2053" s="660"/>
      <c r="C2053" s="164"/>
      <c r="D2053" s="661"/>
      <c r="G2053" s="661"/>
      <c r="J2053" s="164"/>
      <c r="K2053" s="664"/>
      <c r="L2053" s="664"/>
      <c r="M2053" s="164"/>
      <c r="N2053" s="511"/>
      <c r="O2053" s="662"/>
      <c r="R2053" s="666"/>
    </row>
    <row r="2054" spans="2:18">
      <c r="B2054" s="660"/>
      <c r="C2054" s="164"/>
      <c r="D2054" s="661"/>
      <c r="G2054" s="661"/>
      <c r="J2054" s="164"/>
      <c r="K2054" s="664"/>
      <c r="L2054" s="664"/>
      <c r="M2054" s="164"/>
      <c r="N2054" s="511"/>
      <c r="O2054" s="662"/>
      <c r="R2054" s="666"/>
    </row>
    <row r="2055" spans="2:18">
      <c r="B2055" s="660"/>
      <c r="C2055" s="164"/>
      <c r="D2055" s="661"/>
      <c r="G2055" s="661"/>
      <c r="J2055" s="164"/>
      <c r="K2055" s="664"/>
      <c r="L2055" s="664"/>
      <c r="M2055" s="164"/>
      <c r="N2055" s="511"/>
      <c r="O2055" s="662"/>
      <c r="R2055" s="666"/>
    </row>
    <row r="2056" spans="2:18">
      <c r="B2056" s="660"/>
      <c r="C2056" s="164"/>
      <c r="D2056" s="661"/>
      <c r="G2056" s="661"/>
      <c r="J2056" s="164"/>
      <c r="K2056" s="664"/>
      <c r="L2056" s="664"/>
      <c r="M2056" s="164"/>
      <c r="N2056" s="511"/>
      <c r="O2056" s="662"/>
      <c r="R2056" s="666"/>
    </row>
    <row r="2057" spans="2:18">
      <c r="B2057" s="660"/>
      <c r="C2057" s="164"/>
      <c r="D2057" s="661"/>
      <c r="G2057" s="661"/>
      <c r="J2057" s="164"/>
      <c r="K2057" s="664"/>
      <c r="L2057" s="664"/>
      <c r="M2057" s="164"/>
      <c r="N2057" s="511"/>
      <c r="O2057" s="662"/>
      <c r="R2057" s="666"/>
    </row>
    <row r="2058" spans="2:18">
      <c r="B2058" s="660"/>
      <c r="C2058" s="164"/>
      <c r="D2058" s="661"/>
      <c r="G2058" s="661"/>
      <c r="J2058" s="164"/>
      <c r="K2058" s="664"/>
      <c r="L2058" s="664"/>
      <c r="M2058" s="164"/>
      <c r="N2058" s="511"/>
      <c r="O2058" s="662"/>
      <c r="R2058" s="666"/>
    </row>
    <row r="2059" spans="2:18">
      <c r="B2059" s="660"/>
      <c r="C2059" s="164"/>
      <c r="D2059" s="661"/>
      <c r="G2059" s="661"/>
      <c r="J2059" s="164"/>
      <c r="K2059" s="664"/>
      <c r="L2059" s="664"/>
      <c r="M2059" s="164"/>
      <c r="N2059" s="511"/>
      <c r="O2059" s="662"/>
      <c r="R2059" s="666"/>
    </row>
    <row r="2060" spans="2:18">
      <c r="B2060" s="660"/>
      <c r="C2060" s="164"/>
      <c r="D2060" s="661"/>
      <c r="G2060" s="661"/>
      <c r="J2060" s="164"/>
      <c r="K2060" s="664"/>
      <c r="L2060" s="664"/>
      <c r="M2060" s="164"/>
      <c r="N2060" s="511"/>
      <c r="O2060" s="662"/>
      <c r="R2060" s="666"/>
    </row>
    <row r="2061" spans="2:18">
      <c r="B2061" s="660"/>
      <c r="C2061" s="164"/>
      <c r="D2061" s="661"/>
      <c r="G2061" s="661"/>
      <c r="J2061" s="164"/>
      <c r="K2061" s="664"/>
      <c r="L2061" s="664"/>
      <c r="M2061" s="164"/>
      <c r="N2061" s="511"/>
      <c r="O2061" s="662"/>
      <c r="R2061" s="666"/>
    </row>
    <row r="2062" spans="2:18">
      <c r="B2062" s="660"/>
      <c r="C2062" s="164"/>
      <c r="D2062" s="661"/>
      <c r="G2062" s="661"/>
      <c r="J2062" s="164"/>
      <c r="K2062" s="664"/>
      <c r="L2062" s="664"/>
      <c r="M2062" s="164"/>
      <c r="N2062" s="511"/>
      <c r="O2062" s="662"/>
      <c r="R2062" s="666"/>
    </row>
    <row r="2063" spans="2:18">
      <c r="B2063" s="660"/>
      <c r="C2063" s="164"/>
      <c r="D2063" s="661"/>
      <c r="G2063" s="661"/>
      <c r="J2063" s="164"/>
      <c r="K2063" s="664"/>
      <c r="L2063" s="664"/>
      <c r="M2063" s="164"/>
      <c r="N2063" s="511"/>
      <c r="O2063" s="662"/>
      <c r="R2063" s="666"/>
    </row>
    <row r="2064" spans="2:18">
      <c r="B2064" s="660"/>
      <c r="C2064" s="164"/>
      <c r="D2064" s="661"/>
      <c r="G2064" s="661"/>
      <c r="J2064" s="164"/>
      <c r="K2064" s="664"/>
      <c r="L2064" s="664"/>
      <c r="M2064" s="164"/>
      <c r="N2064" s="511"/>
      <c r="O2064" s="662"/>
      <c r="R2064" s="666"/>
    </row>
    <row r="2065" spans="2:18">
      <c r="B2065" s="660"/>
      <c r="C2065" s="164"/>
      <c r="D2065" s="661"/>
      <c r="G2065" s="661"/>
      <c r="J2065" s="164"/>
      <c r="K2065" s="664"/>
      <c r="L2065" s="664"/>
      <c r="M2065" s="164"/>
      <c r="N2065" s="511"/>
      <c r="O2065" s="662"/>
      <c r="R2065" s="666"/>
    </row>
    <row r="2066" spans="2:18">
      <c r="B2066" s="660"/>
      <c r="C2066" s="164"/>
      <c r="D2066" s="661"/>
      <c r="G2066" s="661"/>
      <c r="J2066" s="164"/>
      <c r="K2066" s="664"/>
      <c r="L2066" s="664"/>
      <c r="M2066" s="164"/>
      <c r="N2066" s="511"/>
      <c r="O2066" s="662"/>
      <c r="R2066" s="666"/>
    </row>
    <row r="2067" spans="2:18">
      <c r="B2067" s="660"/>
      <c r="C2067" s="164"/>
      <c r="D2067" s="661"/>
      <c r="G2067" s="661"/>
      <c r="J2067" s="164"/>
      <c r="K2067" s="664"/>
      <c r="L2067" s="664"/>
      <c r="M2067" s="164"/>
      <c r="N2067" s="511"/>
      <c r="O2067" s="662"/>
      <c r="R2067" s="666"/>
    </row>
    <row r="2068" spans="2:18">
      <c r="B2068" s="660"/>
      <c r="C2068" s="164"/>
      <c r="D2068" s="661"/>
      <c r="G2068" s="661"/>
      <c r="J2068" s="164"/>
      <c r="K2068" s="664"/>
      <c r="L2068" s="664"/>
      <c r="M2068" s="164"/>
      <c r="N2068" s="511"/>
      <c r="O2068" s="662"/>
      <c r="R2068" s="666"/>
    </row>
    <row r="2069" spans="2:18">
      <c r="B2069" s="660"/>
      <c r="C2069" s="164"/>
      <c r="D2069" s="661"/>
      <c r="G2069" s="661"/>
      <c r="J2069" s="164"/>
      <c r="K2069" s="664"/>
      <c r="L2069" s="664"/>
      <c r="M2069" s="164"/>
      <c r="N2069" s="511"/>
      <c r="O2069" s="662"/>
      <c r="R2069" s="666"/>
    </row>
    <row r="2070" spans="2:18">
      <c r="B2070" s="660"/>
      <c r="C2070" s="164"/>
      <c r="D2070" s="661"/>
      <c r="G2070" s="661"/>
      <c r="J2070" s="164"/>
      <c r="K2070" s="664"/>
      <c r="L2070" s="664"/>
      <c r="M2070" s="164"/>
      <c r="N2070" s="511"/>
      <c r="O2070" s="662"/>
      <c r="R2070" s="666"/>
    </row>
    <row r="2071" spans="2:18">
      <c r="B2071" s="660"/>
      <c r="C2071" s="164"/>
      <c r="D2071" s="661"/>
      <c r="G2071" s="661"/>
      <c r="J2071" s="164"/>
      <c r="K2071" s="664"/>
      <c r="L2071" s="664"/>
      <c r="M2071" s="164"/>
      <c r="N2071" s="511"/>
      <c r="O2071" s="662"/>
      <c r="R2071" s="666"/>
    </row>
    <row r="2072" spans="2:18">
      <c r="B2072" s="660"/>
      <c r="C2072" s="164"/>
      <c r="D2072" s="661"/>
      <c r="G2072" s="661"/>
      <c r="J2072" s="164"/>
      <c r="K2072" s="664"/>
      <c r="L2072" s="664"/>
      <c r="M2072" s="164"/>
      <c r="N2072" s="511"/>
      <c r="O2072" s="662"/>
      <c r="R2072" s="666"/>
    </row>
    <row r="2073" spans="2:18">
      <c r="B2073" s="660"/>
      <c r="C2073" s="164"/>
      <c r="D2073" s="661"/>
      <c r="G2073" s="661"/>
      <c r="J2073" s="164"/>
      <c r="K2073" s="664"/>
      <c r="L2073" s="664"/>
      <c r="M2073" s="164"/>
      <c r="N2073" s="511"/>
      <c r="O2073" s="662"/>
      <c r="R2073" s="666"/>
    </row>
    <row r="2074" spans="2:18">
      <c r="B2074" s="660"/>
      <c r="C2074" s="164"/>
      <c r="D2074" s="661"/>
      <c r="G2074" s="661"/>
      <c r="J2074" s="164"/>
      <c r="K2074" s="664"/>
      <c r="L2074" s="664"/>
      <c r="M2074" s="164"/>
      <c r="N2074" s="511"/>
      <c r="O2074" s="662"/>
      <c r="R2074" s="666"/>
    </row>
    <row r="2075" spans="2:18">
      <c r="B2075" s="660"/>
      <c r="C2075" s="164"/>
      <c r="D2075" s="661"/>
      <c r="G2075" s="661"/>
      <c r="J2075" s="164"/>
      <c r="K2075" s="664"/>
      <c r="L2075" s="664"/>
      <c r="M2075" s="164"/>
      <c r="N2075" s="511"/>
      <c r="O2075" s="662"/>
      <c r="R2075" s="666"/>
    </row>
    <row r="2076" spans="2:18">
      <c r="B2076" s="660"/>
      <c r="C2076" s="164"/>
      <c r="D2076" s="661"/>
      <c r="G2076" s="661"/>
      <c r="J2076" s="164"/>
      <c r="K2076" s="664"/>
      <c r="L2076" s="664"/>
      <c r="M2076" s="164"/>
      <c r="N2076" s="511"/>
      <c r="O2076" s="662"/>
      <c r="R2076" s="666"/>
    </row>
    <row r="2077" spans="2:18">
      <c r="B2077" s="660"/>
      <c r="C2077" s="164"/>
      <c r="D2077" s="661"/>
      <c r="G2077" s="661"/>
      <c r="J2077" s="164"/>
      <c r="K2077" s="664"/>
      <c r="L2077" s="664"/>
      <c r="M2077" s="164"/>
      <c r="N2077" s="511"/>
      <c r="O2077" s="662"/>
      <c r="R2077" s="666"/>
    </row>
    <row r="2078" spans="2:18">
      <c r="B2078" s="660"/>
      <c r="C2078" s="164"/>
      <c r="D2078" s="661"/>
      <c r="G2078" s="661"/>
      <c r="J2078" s="164"/>
      <c r="K2078" s="664"/>
      <c r="L2078" s="664"/>
      <c r="M2078" s="164"/>
      <c r="N2078" s="511"/>
      <c r="O2078" s="662"/>
      <c r="R2078" s="666"/>
    </row>
    <row r="2079" spans="2:18">
      <c r="B2079" s="660"/>
      <c r="C2079" s="164"/>
      <c r="D2079" s="661"/>
      <c r="G2079" s="661"/>
      <c r="J2079" s="164"/>
      <c r="K2079" s="664"/>
      <c r="L2079" s="664"/>
      <c r="M2079" s="164"/>
      <c r="N2079" s="511"/>
      <c r="O2079" s="662"/>
      <c r="R2079" s="666"/>
    </row>
    <row r="2080" spans="2:18">
      <c r="B2080" s="660"/>
      <c r="C2080" s="164"/>
      <c r="D2080" s="661"/>
      <c r="G2080" s="661"/>
      <c r="J2080" s="164"/>
      <c r="K2080" s="664"/>
      <c r="L2080" s="664"/>
      <c r="M2080" s="164"/>
      <c r="N2080" s="511"/>
      <c r="O2080" s="662"/>
      <c r="R2080" s="666"/>
    </row>
    <row r="2081" spans="2:18">
      <c r="B2081" s="660"/>
      <c r="C2081" s="164"/>
      <c r="D2081" s="661"/>
      <c r="G2081" s="661"/>
      <c r="J2081" s="164"/>
      <c r="K2081" s="664"/>
      <c r="L2081" s="664"/>
      <c r="M2081" s="164"/>
      <c r="N2081" s="511"/>
      <c r="O2081" s="662"/>
      <c r="R2081" s="666"/>
    </row>
    <row r="2082" spans="2:18">
      <c r="B2082" s="660"/>
      <c r="C2082" s="164"/>
      <c r="D2082" s="661"/>
      <c r="G2082" s="661"/>
      <c r="J2082" s="164"/>
      <c r="K2082" s="664"/>
      <c r="L2082" s="664"/>
      <c r="M2082" s="164"/>
      <c r="N2082" s="511"/>
      <c r="O2082" s="662"/>
      <c r="R2082" s="666"/>
    </row>
    <row r="2083" spans="2:18">
      <c r="B2083" s="660"/>
      <c r="C2083" s="164"/>
      <c r="D2083" s="661"/>
      <c r="G2083" s="661"/>
      <c r="J2083" s="164"/>
      <c r="K2083" s="664"/>
      <c r="L2083" s="664"/>
      <c r="M2083" s="164"/>
      <c r="N2083" s="511"/>
      <c r="O2083" s="662"/>
      <c r="R2083" s="666"/>
    </row>
    <row r="2084" spans="2:18">
      <c r="B2084" s="660"/>
      <c r="C2084" s="164"/>
      <c r="D2084" s="661"/>
      <c r="G2084" s="661"/>
      <c r="J2084" s="164"/>
      <c r="K2084" s="664"/>
      <c r="L2084" s="664"/>
      <c r="M2084" s="164"/>
      <c r="N2084" s="511"/>
      <c r="O2084" s="662"/>
      <c r="R2084" s="666"/>
    </row>
    <row r="2085" spans="2:18">
      <c r="B2085" s="660"/>
      <c r="C2085" s="164"/>
      <c r="D2085" s="661"/>
      <c r="G2085" s="661"/>
      <c r="J2085" s="164"/>
      <c r="K2085" s="664"/>
      <c r="L2085" s="664"/>
      <c r="M2085" s="164"/>
      <c r="N2085" s="511"/>
      <c r="O2085" s="662"/>
      <c r="R2085" s="666"/>
    </row>
    <row r="2086" spans="2:18">
      <c r="B2086" s="660"/>
      <c r="C2086" s="164"/>
      <c r="D2086" s="661"/>
      <c r="G2086" s="661"/>
      <c r="J2086" s="164"/>
      <c r="K2086" s="664"/>
      <c r="L2086" s="664"/>
      <c r="M2086" s="164"/>
      <c r="N2086" s="511"/>
      <c r="O2086" s="662"/>
      <c r="R2086" s="666"/>
    </row>
    <row r="2087" spans="2:18">
      <c r="B2087" s="660"/>
      <c r="C2087" s="164"/>
      <c r="D2087" s="661"/>
      <c r="G2087" s="661"/>
      <c r="J2087" s="164"/>
      <c r="K2087" s="664"/>
      <c r="L2087" s="664"/>
      <c r="M2087" s="164"/>
      <c r="N2087" s="511"/>
      <c r="O2087" s="662"/>
      <c r="R2087" s="666"/>
    </row>
    <row r="2088" spans="2:18">
      <c r="B2088" s="660"/>
      <c r="C2088" s="164"/>
      <c r="D2088" s="661"/>
      <c r="G2088" s="661"/>
      <c r="J2088" s="164"/>
      <c r="K2088" s="664"/>
      <c r="L2088" s="664"/>
      <c r="M2088" s="164"/>
      <c r="N2088" s="511"/>
      <c r="O2088" s="662"/>
      <c r="R2088" s="666"/>
    </row>
    <row r="2089" spans="2:18">
      <c r="B2089" s="660"/>
      <c r="C2089" s="164"/>
      <c r="D2089" s="661"/>
      <c r="G2089" s="661"/>
      <c r="J2089" s="164"/>
      <c r="K2089" s="664"/>
      <c r="L2089" s="664"/>
      <c r="M2089" s="164"/>
      <c r="N2089" s="511"/>
      <c r="O2089" s="662"/>
      <c r="R2089" s="666"/>
    </row>
    <row r="2090" spans="2:18">
      <c r="B2090" s="660"/>
      <c r="C2090" s="164"/>
      <c r="D2090" s="661"/>
      <c r="G2090" s="661"/>
      <c r="J2090" s="164"/>
      <c r="K2090" s="664"/>
      <c r="L2090" s="664"/>
      <c r="M2090" s="164"/>
      <c r="N2090" s="511"/>
      <c r="O2090" s="662"/>
      <c r="R2090" s="666"/>
    </row>
    <row r="2091" spans="2:18">
      <c r="B2091" s="660"/>
      <c r="C2091" s="164"/>
      <c r="D2091" s="661"/>
      <c r="G2091" s="661"/>
      <c r="J2091" s="164"/>
      <c r="K2091" s="664"/>
      <c r="L2091" s="664"/>
      <c r="M2091" s="164"/>
      <c r="N2091" s="511"/>
      <c r="O2091" s="662"/>
      <c r="R2091" s="666"/>
    </row>
    <row r="2092" spans="2:18">
      <c r="B2092" s="660"/>
      <c r="C2092" s="164"/>
      <c r="D2092" s="661"/>
      <c r="G2092" s="661"/>
      <c r="J2092" s="164"/>
      <c r="K2092" s="664"/>
      <c r="L2092" s="664"/>
      <c r="M2092" s="164"/>
      <c r="N2092" s="511"/>
      <c r="O2092" s="662"/>
      <c r="R2092" s="666"/>
    </row>
    <row r="2093" spans="2:18">
      <c r="B2093" s="660"/>
      <c r="C2093" s="164"/>
      <c r="D2093" s="661"/>
      <c r="G2093" s="661"/>
      <c r="J2093" s="164"/>
      <c r="K2093" s="664"/>
      <c r="L2093" s="664"/>
      <c r="M2093" s="164"/>
      <c r="N2093" s="511"/>
      <c r="O2093" s="662"/>
      <c r="R2093" s="666"/>
    </row>
    <row r="2094" spans="2:18">
      <c r="B2094" s="660"/>
      <c r="C2094" s="164"/>
      <c r="D2094" s="661"/>
      <c r="G2094" s="661"/>
      <c r="J2094" s="164"/>
      <c r="K2094" s="664"/>
      <c r="L2094" s="664"/>
      <c r="M2094" s="164"/>
      <c r="N2094" s="511"/>
      <c r="O2094" s="662"/>
      <c r="R2094" s="666"/>
    </row>
    <row r="2095" spans="2:18">
      <c r="B2095" s="660"/>
      <c r="C2095" s="164"/>
      <c r="D2095" s="661"/>
      <c r="G2095" s="661"/>
      <c r="J2095" s="164"/>
      <c r="K2095" s="664"/>
      <c r="L2095" s="664"/>
      <c r="M2095" s="164"/>
      <c r="N2095" s="511"/>
      <c r="O2095" s="662"/>
      <c r="R2095" s="666"/>
    </row>
    <row r="2096" spans="2:18">
      <c r="B2096" s="660"/>
      <c r="C2096" s="164"/>
      <c r="D2096" s="661"/>
      <c r="G2096" s="661"/>
      <c r="J2096" s="164"/>
      <c r="K2096" s="664"/>
      <c r="L2096" s="664"/>
      <c r="M2096" s="164"/>
      <c r="N2096" s="511"/>
      <c r="O2096" s="662"/>
      <c r="R2096" s="666"/>
    </row>
    <row r="2097" spans="2:18">
      <c r="B2097" s="660"/>
      <c r="C2097" s="164"/>
      <c r="D2097" s="661"/>
      <c r="G2097" s="661"/>
      <c r="J2097" s="164"/>
      <c r="K2097" s="664"/>
      <c r="L2097" s="664"/>
      <c r="M2097" s="164"/>
      <c r="N2097" s="511"/>
      <c r="O2097" s="662"/>
      <c r="R2097" s="666"/>
    </row>
    <row r="2098" spans="2:18">
      <c r="B2098" s="660"/>
      <c r="C2098" s="164"/>
      <c r="D2098" s="661"/>
      <c r="G2098" s="661"/>
      <c r="J2098" s="164"/>
      <c r="K2098" s="664"/>
      <c r="L2098" s="664"/>
      <c r="M2098" s="164"/>
      <c r="N2098" s="511"/>
      <c r="O2098" s="662"/>
      <c r="R2098" s="666"/>
    </row>
    <row r="2099" spans="2:18">
      <c r="B2099" s="660"/>
      <c r="C2099" s="164"/>
      <c r="D2099" s="661"/>
      <c r="G2099" s="661"/>
      <c r="J2099" s="164"/>
      <c r="K2099" s="664"/>
      <c r="L2099" s="664"/>
      <c r="M2099" s="164"/>
      <c r="N2099" s="511"/>
      <c r="O2099" s="662"/>
      <c r="R2099" s="666"/>
    </row>
    <row r="2100" spans="2:18">
      <c r="B2100" s="660"/>
      <c r="C2100" s="164"/>
      <c r="D2100" s="661"/>
      <c r="G2100" s="661"/>
      <c r="J2100" s="164"/>
      <c r="K2100" s="664"/>
      <c r="L2100" s="664"/>
      <c r="M2100" s="164"/>
      <c r="N2100" s="511"/>
      <c r="O2100" s="662"/>
      <c r="R2100" s="666"/>
    </row>
    <row r="2101" spans="2:18">
      <c r="B2101" s="660"/>
      <c r="C2101" s="164"/>
      <c r="D2101" s="661"/>
      <c r="G2101" s="661"/>
      <c r="J2101" s="164"/>
      <c r="K2101" s="664"/>
      <c r="L2101" s="664"/>
      <c r="M2101" s="164"/>
      <c r="N2101" s="511"/>
      <c r="O2101" s="662"/>
      <c r="R2101" s="666"/>
    </row>
    <row r="2102" spans="2:18">
      <c r="B2102" s="660"/>
      <c r="C2102" s="164"/>
      <c r="D2102" s="661"/>
      <c r="G2102" s="661"/>
      <c r="J2102" s="164"/>
      <c r="K2102" s="664"/>
      <c r="L2102" s="664"/>
      <c r="M2102" s="164"/>
      <c r="N2102" s="511"/>
      <c r="O2102" s="662"/>
      <c r="R2102" s="666"/>
    </row>
    <row r="2103" spans="2:18">
      <c r="B2103" s="660"/>
      <c r="C2103" s="164"/>
      <c r="D2103" s="661"/>
      <c r="G2103" s="661"/>
      <c r="J2103" s="164"/>
      <c r="K2103" s="664"/>
      <c r="L2103" s="664"/>
      <c r="M2103" s="164"/>
      <c r="N2103" s="511"/>
      <c r="O2103" s="662"/>
      <c r="R2103" s="666"/>
    </row>
    <row r="2104" spans="2:18">
      <c r="B2104" s="660"/>
      <c r="C2104" s="164"/>
      <c r="D2104" s="661"/>
      <c r="G2104" s="661"/>
      <c r="J2104" s="164"/>
      <c r="K2104" s="664"/>
      <c r="L2104" s="664"/>
      <c r="M2104" s="164"/>
      <c r="N2104" s="511"/>
      <c r="O2104" s="662"/>
      <c r="R2104" s="666"/>
    </row>
    <row r="2105" spans="2:18">
      <c r="B2105" s="660"/>
      <c r="C2105" s="164"/>
      <c r="D2105" s="661"/>
      <c r="G2105" s="661"/>
      <c r="J2105" s="164"/>
      <c r="K2105" s="664"/>
      <c r="L2105" s="664"/>
      <c r="M2105" s="164"/>
      <c r="N2105" s="511"/>
      <c r="O2105" s="662"/>
      <c r="R2105" s="666"/>
    </row>
    <row r="2106" spans="2:18">
      <c r="B2106" s="660"/>
      <c r="C2106" s="164"/>
      <c r="D2106" s="661"/>
      <c r="G2106" s="661"/>
      <c r="J2106" s="164"/>
      <c r="K2106" s="664"/>
      <c r="L2106" s="664"/>
      <c r="M2106" s="164"/>
      <c r="N2106" s="511"/>
      <c r="O2106" s="662"/>
      <c r="R2106" s="666"/>
    </row>
    <row r="2107" spans="2:18">
      <c r="B2107" s="660"/>
      <c r="C2107" s="164"/>
      <c r="D2107" s="661"/>
      <c r="G2107" s="661"/>
      <c r="J2107" s="164"/>
      <c r="K2107" s="664"/>
      <c r="L2107" s="664"/>
      <c r="M2107" s="164"/>
      <c r="N2107" s="511"/>
      <c r="O2107" s="662"/>
      <c r="R2107" s="666"/>
    </row>
    <row r="2108" spans="2:18">
      <c r="B2108" s="660"/>
      <c r="C2108" s="164"/>
      <c r="D2108" s="661"/>
      <c r="G2108" s="661"/>
      <c r="J2108" s="164"/>
      <c r="K2108" s="664"/>
      <c r="L2108" s="664"/>
      <c r="M2108" s="164"/>
      <c r="N2108" s="511"/>
      <c r="O2108" s="662"/>
      <c r="R2108" s="666"/>
    </row>
    <row r="2109" spans="2:18">
      <c r="B2109" s="660"/>
      <c r="C2109" s="164"/>
      <c r="D2109" s="661"/>
      <c r="G2109" s="661"/>
      <c r="J2109" s="164"/>
      <c r="K2109" s="664"/>
      <c r="L2109" s="664"/>
      <c r="M2109" s="164"/>
      <c r="N2109" s="511"/>
      <c r="O2109" s="662"/>
      <c r="R2109" s="666"/>
    </row>
    <row r="2110" spans="2:18">
      <c r="B2110" s="660"/>
      <c r="C2110" s="164"/>
      <c r="D2110" s="661"/>
      <c r="G2110" s="661"/>
      <c r="J2110" s="164"/>
      <c r="K2110" s="664"/>
      <c r="L2110" s="664"/>
      <c r="M2110" s="164"/>
      <c r="N2110" s="511"/>
      <c r="O2110" s="662"/>
      <c r="R2110" s="666"/>
    </row>
    <row r="2111" spans="2:18">
      <c r="B2111" s="660"/>
      <c r="C2111" s="164"/>
      <c r="D2111" s="661"/>
      <c r="G2111" s="661"/>
      <c r="J2111" s="164"/>
      <c r="K2111" s="664"/>
      <c r="L2111" s="664"/>
      <c r="M2111" s="164"/>
      <c r="N2111" s="511"/>
      <c r="O2111" s="662"/>
      <c r="R2111" s="666"/>
    </row>
    <row r="2112" spans="2:18">
      <c r="B2112" s="660"/>
      <c r="C2112" s="164"/>
      <c r="D2112" s="661"/>
      <c r="G2112" s="661"/>
      <c r="J2112" s="164"/>
      <c r="K2112" s="664"/>
      <c r="L2112" s="664"/>
      <c r="M2112" s="164"/>
      <c r="N2112" s="511"/>
      <c r="O2112" s="662"/>
      <c r="R2112" s="666"/>
    </row>
    <row r="2113" spans="2:18">
      <c r="B2113" s="660"/>
      <c r="C2113" s="164"/>
      <c r="D2113" s="661"/>
      <c r="G2113" s="661"/>
      <c r="J2113" s="164"/>
      <c r="K2113" s="664"/>
      <c r="L2113" s="664"/>
      <c r="M2113" s="164"/>
      <c r="N2113" s="511"/>
      <c r="O2113" s="662"/>
      <c r="R2113" s="666"/>
    </row>
    <row r="2114" spans="2:18">
      <c r="B2114" s="660"/>
      <c r="C2114" s="164"/>
      <c r="D2114" s="661"/>
      <c r="G2114" s="661"/>
      <c r="J2114" s="164"/>
      <c r="K2114" s="664"/>
      <c r="L2114" s="664"/>
      <c r="M2114" s="164"/>
      <c r="N2114" s="511"/>
      <c r="O2114" s="662"/>
      <c r="R2114" s="666"/>
    </row>
    <row r="2115" spans="2:18">
      <c r="B2115" s="660"/>
      <c r="C2115" s="164"/>
      <c r="D2115" s="661"/>
      <c r="G2115" s="661"/>
      <c r="J2115" s="164"/>
      <c r="K2115" s="664"/>
      <c r="L2115" s="664"/>
      <c r="M2115" s="164"/>
      <c r="N2115" s="511"/>
      <c r="O2115" s="662"/>
      <c r="R2115" s="666"/>
    </row>
    <row r="2116" spans="2:18">
      <c r="B2116" s="660"/>
      <c r="C2116" s="164"/>
      <c r="D2116" s="661"/>
      <c r="G2116" s="661"/>
      <c r="J2116" s="164"/>
      <c r="K2116" s="664"/>
      <c r="L2116" s="664"/>
      <c r="M2116" s="164"/>
      <c r="N2116" s="511"/>
      <c r="O2116" s="662"/>
      <c r="R2116" s="666"/>
    </row>
    <row r="2117" spans="2:18">
      <c r="B2117" s="660"/>
      <c r="C2117" s="164"/>
      <c r="D2117" s="661"/>
      <c r="G2117" s="661"/>
      <c r="J2117" s="164"/>
      <c r="K2117" s="664"/>
      <c r="L2117" s="664"/>
      <c r="M2117" s="164"/>
      <c r="N2117" s="511"/>
      <c r="O2117" s="662"/>
      <c r="R2117" s="666"/>
    </row>
    <row r="2118" spans="2:18">
      <c r="B2118" s="660"/>
      <c r="C2118" s="164"/>
      <c r="D2118" s="661"/>
      <c r="G2118" s="661"/>
      <c r="J2118" s="164"/>
      <c r="K2118" s="664"/>
      <c r="L2118" s="664"/>
      <c r="M2118" s="164"/>
      <c r="N2118" s="511"/>
      <c r="O2118" s="662"/>
      <c r="R2118" s="666"/>
    </row>
    <row r="2119" spans="2:18">
      <c r="B2119" s="660"/>
      <c r="C2119" s="164"/>
      <c r="D2119" s="661"/>
      <c r="G2119" s="661"/>
      <c r="J2119" s="164"/>
      <c r="K2119" s="664"/>
      <c r="L2119" s="664"/>
      <c r="M2119" s="164"/>
      <c r="N2119" s="511"/>
      <c r="O2119" s="662"/>
      <c r="R2119" s="666"/>
    </row>
    <row r="2120" spans="2:18">
      <c r="B2120" s="660"/>
      <c r="C2120" s="164"/>
      <c r="D2120" s="661"/>
      <c r="G2120" s="661"/>
      <c r="J2120" s="164"/>
      <c r="K2120" s="664"/>
      <c r="L2120" s="664"/>
      <c r="M2120" s="164"/>
      <c r="N2120" s="511"/>
      <c r="O2120" s="662"/>
      <c r="R2120" s="666"/>
    </row>
    <row r="2121" spans="2:18">
      <c r="B2121" s="660"/>
      <c r="C2121" s="164"/>
      <c r="D2121" s="661"/>
      <c r="G2121" s="661"/>
      <c r="J2121" s="164"/>
      <c r="K2121" s="664"/>
      <c r="L2121" s="664"/>
      <c r="M2121" s="164"/>
      <c r="N2121" s="511"/>
      <c r="O2121" s="662"/>
      <c r="R2121" s="666"/>
    </row>
    <row r="2122" spans="2:18">
      <c r="B2122" s="660"/>
      <c r="C2122" s="164"/>
      <c r="D2122" s="661"/>
      <c r="G2122" s="661"/>
      <c r="J2122" s="164"/>
      <c r="K2122" s="664"/>
      <c r="L2122" s="664"/>
      <c r="M2122" s="164"/>
      <c r="N2122" s="511"/>
      <c r="O2122" s="662"/>
      <c r="R2122" s="666"/>
    </row>
    <row r="2123" spans="2:18">
      <c r="B2123" s="660"/>
      <c r="C2123" s="164"/>
      <c r="D2123" s="661"/>
      <c r="G2123" s="661"/>
      <c r="J2123" s="164"/>
      <c r="K2123" s="664"/>
      <c r="L2123" s="664"/>
      <c r="M2123" s="164"/>
      <c r="N2123" s="511"/>
      <c r="O2123" s="662"/>
      <c r="R2123" s="666"/>
    </row>
    <row r="2124" spans="2:18">
      <c r="B2124" s="660"/>
      <c r="C2124" s="164"/>
      <c r="D2124" s="661"/>
      <c r="G2124" s="661"/>
      <c r="J2124" s="164"/>
      <c r="K2124" s="664"/>
      <c r="L2124" s="664"/>
      <c r="M2124" s="164"/>
      <c r="N2124" s="511"/>
      <c r="O2124" s="662"/>
      <c r="R2124" s="666"/>
    </row>
    <row r="2125" spans="2:18">
      <c r="B2125" s="660"/>
      <c r="C2125" s="164"/>
      <c r="D2125" s="661"/>
      <c r="G2125" s="661"/>
      <c r="J2125" s="164"/>
      <c r="K2125" s="664"/>
      <c r="L2125" s="664"/>
      <c r="M2125" s="164"/>
      <c r="N2125" s="511"/>
      <c r="O2125" s="662"/>
      <c r="R2125" s="666"/>
    </row>
    <row r="2126" spans="2:18">
      <c r="B2126" s="660"/>
      <c r="C2126" s="164"/>
      <c r="D2126" s="661"/>
      <c r="G2126" s="661"/>
      <c r="J2126" s="164"/>
      <c r="K2126" s="664"/>
      <c r="L2126" s="664"/>
      <c r="M2126" s="164"/>
      <c r="N2126" s="511"/>
      <c r="O2126" s="662"/>
      <c r="R2126" s="666"/>
    </row>
    <row r="2127" spans="2:18">
      <c r="B2127" s="660"/>
      <c r="C2127" s="164"/>
      <c r="D2127" s="661"/>
      <c r="G2127" s="661"/>
      <c r="J2127" s="164"/>
      <c r="K2127" s="664"/>
      <c r="L2127" s="664"/>
      <c r="M2127" s="164"/>
      <c r="N2127" s="511"/>
      <c r="O2127" s="662"/>
      <c r="R2127" s="666"/>
    </row>
    <row r="2128" spans="2:18">
      <c r="B2128" s="660"/>
      <c r="C2128" s="164"/>
      <c r="D2128" s="661"/>
      <c r="G2128" s="661"/>
      <c r="J2128" s="164"/>
      <c r="K2128" s="664"/>
      <c r="L2128" s="664"/>
      <c r="M2128" s="164"/>
      <c r="N2128" s="511"/>
      <c r="O2128" s="662"/>
      <c r="R2128" s="666"/>
    </row>
    <row r="2129" spans="2:18">
      <c r="B2129" s="660"/>
      <c r="C2129" s="164"/>
      <c r="D2129" s="661"/>
      <c r="G2129" s="661"/>
      <c r="J2129" s="164"/>
      <c r="K2129" s="664"/>
      <c r="L2129" s="664"/>
      <c r="M2129" s="164"/>
      <c r="N2129" s="511"/>
      <c r="O2129" s="662"/>
      <c r="R2129" s="666"/>
    </row>
    <row r="2130" spans="2:18">
      <c r="B2130" s="660"/>
      <c r="C2130" s="164"/>
      <c r="D2130" s="661"/>
      <c r="G2130" s="661"/>
      <c r="J2130" s="164"/>
      <c r="K2130" s="664"/>
      <c r="L2130" s="664"/>
      <c r="M2130" s="164"/>
      <c r="N2130" s="511"/>
      <c r="O2130" s="662"/>
      <c r="R2130" s="666"/>
    </row>
    <row r="2131" spans="2:18">
      <c r="B2131" s="660"/>
      <c r="C2131" s="164"/>
      <c r="D2131" s="661"/>
      <c r="G2131" s="661"/>
      <c r="J2131" s="164"/>
      <c r="K2131" s="664"/>
      <c r="L2131" s="664"/>
      <c r="M2131" s="164"/>
      <c r="N2131" s="511"/>
      <c r="O2131" s="662"/>
      <c r="R2131" s="666"/>
    </row>
    <row r="2132" spans="2:18">
      <c r="B2132" s="660"/>
      <c r="C2132" s="164"/>
      <c r="D2132" s="661"/>
      <c r="G2132" s="661"/>
      <c r="J2132" s="164"/>
      <c r="K2132" s="664"/>
      <c r="L2132" s="664"/>
      <c r="M2132" s="164"/>
      <c r="N2132" s="511"/>
      <c r="O2132" s="662"/>
      <c r="R2132" s="666"/>
    </row>
    <row r="2133" spans="2:18">
      <c r="B2133" s="660"/>
      <c r="C2133" s="164"/>
      <c r="D2133" s="661"/>
      <c r="G2133" s="661"/>
      <c r="J2133" s="164"/>
      <c r="K2133" s="664"/>
      <c r="L2133" s="664"/>
      <c r="M2133" s="164"/>
      <c r="N2133" s="511"/>
      <c r="O2133" s="662"/>
      <c r="R2133" s="666"/>
    </row>
    <row r="2134" spans="2:18">
      <c r="B2134" s="660"/>
      <c r="C2134" s="164"/>
      <c r="D2134" s="661"/>
      <c r="G2134" s="661"/>
      <c r="J2134" s="164"/>
      <c r="K2134" s="664"/>
      <c r="L2134" s="664"/>
      <c r="M2134" s="164"/>
      <c r="N2134" s="511"/>
      <c r="O2134" s="662"/>
      <c r="R2134" s="666"/>
    </row>
    <row r="2135" spans="2:18">
      <c r="B2135" s="660"/>
      <c r="C2135" s="164"/>
      <c r="D2135" s="661"/>
      <c r="G2135" s="661"/>
      <c r="J2135" s="164"/>
      <c r="K2135" s="664"/>
      <c r="L2135" s="664"/>
      <c r="M2135" s="164"/>
      <c r="N2135" s="511"/>
      <c r="O2135" s="662"/>
      <c r="R2135" s="666"/>
    </row>
    <row r="2136" spans="2:18">
      <c r="B2136" s="660"/>
      <c r="C2136" s="164"/>
      <c r="D2136" s="661"/>
      <c r="G2136" s="661"/>
      <c r="J2136" s="164"/>
      <c r="K2136" s="664"/>
      <c r="L2136" s="664"/>
      <c r="M2136" s="164"/>
      <c r="N2136" s="511"/>
      <c r="O2136" s="662"/>
      <c r="R2136" s="666"/>
    </row>
    <row r="2137" spans="2:18">
      <c r="B2137" s="660"/>
      <c r="C2137" s="164"/>
      <c r="D2137" s="661"/>
      <c r="G2137" s="661"/>
      <c r="J2137" s="164"/>
      <c r="K2137" s="664"/>
      <c r="L2137" s="664"/>
      <c r="M2137" s="164"/>
      <c r="N2137" s="511"/>
      <c r="O2137" s="662"/>
      <c r="R2137" s="666"/>
    </row>
    <row r="2138" spans="2:18">
      <c r="B2138" s="660"/>
      <c r="C2138" s="164"/>
      <c r="D2138" s="661"/>
      <c r="G2138" s="661"/>
      <c r="J2138" s="164"/>
      <c r="K2138" s="664"/>
      <c r="L2138" s="664"/>
      <c r="M2138" s="164"/>
      <c r="N2138" s="511"/>
      <c r="O2138" s="662"/>
      <c r="R2138" s="666"/>
    </row>
    <row r="2139" spans="2:18">
      <c r="B2139" s="660"/>
      <c r="C2139" s="164"/>
      <c r="D2139" s="661"/>
      <c r="G2139" s="661"/>
      <c r="J2139" s="164"/>
      <c r="K2139" s="664"/>
      <c r="L2139" s="664"/>
      <c r="M2139" s="164"/>
      <c r="N2139" s="511"/>
      <c r="O2139" s="662"/>
      <c r="R2139" s="666"/>
    </row>
    <row r="2140" spans="2:18">
      <c r="B2140" s="660"/>
      <c r="C2140" s="164"/>
      <c r="D2140" s="661"/>
      <c r="G2140" s="661"/>
      <c r="J2140" s="164"/>
      <c r="K2140" s="664"/>
      <c r="L2140" s="664"/>
      <c r="M2140" s="164"/>
      <c r="N2140" s="511"/>
      <c r="O2140" s="662"/>
      <c r="R2140" s="666"/>
    </row>
    <row r="2141" spans="2:18">
      <c r="B2141" s="660"/>
      <c r="C2141" s="164"/>
      <c r="D2141" s="661"/>
      <c r="G2141" s="661"/>
      <c r="J2141" s="164"/>
      <c r="K2141" s="664"/>
      <c r="L2141" s="664"/>
      <c r="M2141" s="164"/>
      <c r="N2141" s="511"/>
      <c r="O2141" s="662"/>
      <c r="R2141" s="666"/>
    </row>
    <row r="2142" spans="2:18">
      <c r="B2142" s="660"/>
      <c r="C2142" s="164"/>
      <c r="D2142" s="661"/>
      <c r="G2142" s="661"/>
      <c r="J2142" s="164"/>
      <c r="K2142" s="664"/>
      <c r="L2142" s="664"/>
      <c r="M2142" s="164"/>
      <c r="N2142" s="511"/>
      <c r="O2142" s="662"/>
      <c r="R2142" s="666"/>
    </row>
    <row r="2143" spans="2:18">
      <c r="B2143" s="660"/>
      <c r="C2143" s="164"/>
      <c r="D2143" s="661"/>
      <c r="G2143" s="661"/>
      <c r="J2143" s="164"/>
      <c r="K2143" s="664"/>
      <c r="L2143" s="664"/>
      <c r="M2143" s="164"/>
      <c r="N2143" s="511"/>
      <c r="O2143" s="662"/>
      <c r="R2143" s="666"/>
    </row>
    <row r="2144" spans="2:18">
      <c r="B2144" s="660"/>
      <c r="C2144" s="164"/>
      <c r="D2144" s="661"/>
      <c r="G2144" s="661"/>
      <c r="J2144" s="164"/>
      <c r="K2144" s="664"/>
      <c r="L2144" s="664"/>
      <c r="M2144" s="164"/>
      <c r="N2144" s="511"/>
      <c r="O2144" s="662"/>
      <c r="R2144" s="666"/>
    </row>
    <row r="2145" spans="2:18">
      <c r="B2145" s="660"/>
      <c r="C2145" s="164"/>
      <c r="D2145" s="661"/>
      <c r="G2145" s="661"/>
      <c r="J2145" s="164"/>
      <c r="K2145" s="664"/>
      <c r="L2145" s="664"/>
      <c r="M2145" s="164"/>
      <c r="N2145" s="511"/>
      <c r="O2145" s="662"/>
      <c r="R2145" s="666"/>
    </row>
    <row r="2146" spans="2:18">
      <c r="B2146" s="660"/>
      <c r="C2146" s="164"/>
      <c r="D2146" s="661"/>
      <c r="G2146" s="661"/>
      <c r="J2146" s="164"/>
      <c r="K2146" s="664"/>
      <c r="L2146" s="664"/>
      <c r="M2146" s="164"/>
      <c r="N2146" s="511"/>
      <c r="O2146" s="662"/>
      <c r="R2146" s="666"/>
    </row>
    <row r="2147" spans="2:18">
      <c r="B2147" s="660"/>
      <c r="C2147" s="164"/>
      <c r="D2147" s="661"/>
      <c r="G2147" s="661"/>
      <c r="J2147" s="164"/>
      <c r="K2147" s="664"/>
      <c r="L2147" s="664"/>
      <c r="M2147" s="164"/>
      <c r="N2147" s="511"/>
      <c r="O2147" s="662"/>
      <c r="R2147" s="666"/>
    </row>
    <row r="2148" spans="2:18">
      <c r="B2148" s="660"/>
      <c r="C2148" s="164"/>
      <c r="D2148" s="661"/>
      <c r="G2148" s="661"/>
      <c r="J2148" s="164"/>
      <c r="K2148" s="664"/>
      <c r="L2148" s="664"/>
      <c r="M2148" s="164"/>
      <c r="N2148" s="511"/>
      <c r="O2148" s="662"/>
      <c r="R2148" s="666"/>
    </row>
    <row r="2149" spans="2:18">
      <c r="B2149" s="660"/>
      <c r="C2149" s="164"/>
      <c r="D2149" s="661"/>
      <c r="G2149" s="661"/>
      <c r="J2149" s="164"/>
      <c r="K2149" s="664"/>
      <c r="L2149" s="664"/>
      <c r="M2149" s="164"/>
      <c r="N2149" s="511"/>
      <c r="O2149" s="662"/>
      <c r="R2149" s="666"/>
    </row>
    <row r="2150" spans="2:18">
      <c r="B2150" s="660"/>
      <c r="C2150" s="164"/>
      <c r="D2150" s="661"/>
      <c r="G2150" s="661"/>
      <c r="J2150" s="164"/>
      <c r="K2150" s="664"/>
      <c r="L2150" s="664"/>
      <c r="M2150" s="164"/>
      <c r="N2150" s="511"/>
      <c r="O2150" s="662"/>
      <c r="R2150" s="666"/>
    </row>
    <row r="2151" spans="2:18">
      <c r="B2151" s="660"/>
      <c r="C2151" s="164"/>
      <c r="D2151" s="661"/>
      <c r="G2151" s="661"/>
      <c r="J2151" s="164"/>
      <c r="K2151" s="664"/>
      <c r="L2151" s="664"/>
      <c r="M2151" s="164"/>
      <c r="N2151" s="511"/>
      <c r="O2151" s="662"/>
      <c r="R2151" s="666"/>
    </row>
    <row r="2152" spans="2:18">
      <c r="B2152" s="660"/>
      <c r="C2152" s="164"/>
      <c r="D2152" s="661"/>
      <c r="G2152" s="661"/>
      <c r="J2152" s="164"/>
      <c r="K2152" s="664"/>
      <c r="L2152" s="664"/>
      <c r="M2152" s="164"/>
      <c r="N2152" s="511"/>
      <c r="O2152" s="662"/>
      <c r="R2152" s="666"/>
    </row>
    <row r="2153" spans="2:18">
      <c r="B2153" s="660"/>
      <c r="C2153" s="164"/>
      <c r="D2153" s="661"/>
      <c r="G2153" s="661"/>
      <c r="J2153" s="164"/>
      <c r="K2153" s="664"/>
      <c r="L2153" s="664"/>
      <c r="M2153" s="164"/>
      <c r="N2153" s="511"/>
      <c r="O2153" s="662"/>
      <c r="R2153" s="666"/>
    </row>
    <row r="2154" spans="2:18">
      <c r="B2154" s="660"/>
      <c r="C2154" s="164"/>
      <c r="D2154" s="661"/>
      <c r="G2154" s="661"/>
      <c r="J2154" s="164"/>
      <c r="K2154" s="664"/>
      <c r="L2154" s="664"/>
      <c r="M2154" s="164"/>
      <c r="N2154" s="511"/>
      <c r="O2154" s="662"/>
      <c r="R2154" s="666"/>
    </row>
    <row r="2155" spans="2:18">
      <c r="B2155" s="660"/>
      <c r="C2155" s="164"/>
      <c r="D2155" s="661"/>
      <c r="G2155" s="661"/>
      <c r="J2155" s="164"/>
      <c r="K2155" s="664"/>
      <c r="L2155" s="664"/>
      <c r="M2155" s="164"/>
      <c r="N2155" s="511"/>
      <c r="O2155" s="662"/>
      <c r="R2155" s="666"/>
    </row>
    <row r="2156" spans="2:18">
      <c r="B2156" s="660"/>
      <c r="C2156" s="164"/>
      <c r="D2156" s="661"/>
      <c r="G2156" s="661"/>
      <c r="J2156" s="164"/>
      <c r="K2156" s="664"/>
      <c r="L2156" s="664"/>
      <c r="M2156" s="164"/>
      <c r="N2156" s="511"/>
      <c r="O2156" s="662"/>
      <c r="R2156" s="666"/>
    </row>
    <row r="2157" spans="2:18">
      <c r="B2157" s="660"/>
      <c r="C2157" s="164"/>
      <c r="D2157" s="661"/>
      <c r="G2157" s="661"/>
      <c r="J2157" s="164"/>
      <c r="K2157" s="664"/>
      <c r="L2157" s="664"/>
      <c r="M2157" s="164"/>
      <c r="N2157" s="511"/>
      <c r="O2157" s="662"/>
      <c r="R2157" s="666"/>
    </row>
    <row r="2158" spans="2:18">
      <c r="B2158" s="660"/>
      <c r="C2158" s="164"/>
      <c r="D2158" s="661"/>
      <c r="G2158" s="661"/>
      <c r="J2158" s="164"/>
      <c r="K2158" s="664"/>
      <c r="L2158" s="664"/>
      <c r="M2158" s="164"/>
      <c r="N2158" s="511"/>
      <c r="O2158" s="662"/>
      <c r="R2158" s="666"/>
    </row>
    <row r="2159" spans="2:18">
      <c r="B2159" s="660"/>
      <c r="C2159" s="164"/>
      <c r="D2159" s="661"/>
      <c r="G2159" s="661"/>
      <c r="J2159" s="164"/>
      <c r="K2159" s="664"/>
      <c r="L2159" s="664"/>
      <c r="M2159" s="164"/>
      <c r="N2159" s="511"/>
      <c r="O2159" s="662"/>
      <c r="R2159" s="666"/>
    </row>
    <row r="2160" spans="2:18">
      <c r="B2160" s="660"/>
      <c r="C2160" s="164"/>
      <c r="D2160" s="661"/>
      <c r="G2160" s="661"/>
      <c r="J2160" s="164"/>
      <c r="K2160" s="664"/>
      <c r="L2160" s="664"/>
      <c r="M2160" s="164"/>
      <c r="N2160" s="511"/>
      <c r="O2160" s="662"/>
      <c r="R2160" s="666"/>
    </row>
    <row r="2161" spans="2:18">
      <c r="B2161" s="660"/>
      <c r="C2161" s="164"/>
      <c r="D2161" s="661"/>
      <c r="G2161" s="661"/>
      <c r="J2161" s="164"/>
      <c r="K2161" s="664"/>
      <c r="L2161" s="664"/>
      <c r="M2161" s="164"/>
      <c r="N2161" s="511"/>
      <c r="O2161" s="662"/>
      <c r="R2161" s="666"/>
    </row>
    <row r="2162" spans="2:18">
      <c r="B2162" s="660"/>
      <c r="C2162" s="164"/>
      <c r="D2162" s="661"/>
      <c r="G2162" s="661"/>
      <c r="J2162" s="164"/>
      <c r="K2162" s="664"/>
      <c r="L2162" s="664"/>
      <c r="M2162" s="164"/>
      <c r="N2162" s="511"/>
      <c r="O2162" s="662"/>
      <c r="R2162" s="666"/>
    </row>
    <row r="2163" spans="2:18">
      <c r="B2163" s="660"/>
      <c r="C2163" s="164"/>
      <c r="D2163" s="661"/>
      <c r="G2163" s="661"/>
      <c r="J2163" s="164"/>
      <c r="K2163" s="664"/>
      <c r="L2163" s="664"/>
      <c r="M2163" s="164"/>
      <c r="N2163" s="511"/>
      <c r="O2163" s="662"/>
      <c r="R2163" s="666"/>
    </row>
    <row r="2164" spans="2:18">
      <c r="B2164" s="660"/>
      <c r="C2164" s="164"/>
      <c r="D2164" s="661"/>
      <c r="G2164" s="661"/>
      <c r="J2164" s="164"/>
      <c r="K2164" s="664"/>
      <c r="L2164" s="664"/>
      <c r="M2164" s="164"/>
      <c r="N2164" s="511"/>
      <c r="O2164" s="662"/>
      <c r="R2164" s="666"/>
    </row>
    <row r="2165" spans="2:18">
      <c r="B2165" s="660"/>
      <c r="C2165" s="164"/>
      <c r="D2165" s="661"/>
      <c r="G2165" s="661"/>
      <c r="J2165" s="164"/>
      <c r="K2165" s="664"/>
      <c r="L2165" s="664"/>
      <c r="M2165" s="164"/>
      <c r="N2165" s="511"/>
      <c r="O2165" s="662"/>
      <c r="R2165" s="666"/>
    </row>
    <row r="2166" spans="2:18">
      <c r="B2166" s="660"/>
      <c r="C2166" s="164"/>
      <c r="D2166" s="661"/>
      <c r="G2166" s="661"/>
      <c r="J2166" s="164"/>
      <c r="K2166" s="664"/>
      <c r="L2166" s="664"/>
      <c r="M2166" s="164"/>
      <c r="N2166" s="511"/>
      <c r="O2166" s="662"/>
      <c r="R2166" s="666"/>
    </row>
    <row r="2167" spans="2:18">
      <c r="B2167" s="660"/>
      <c r="C2167" s="164"/>
      <c r="D2167" s="661"/>
      <c r="G2167" s="661"/>
      <c r="J2167" s="164"/>
      <c r="K2167" s="664"/>
      <c r="L2167" s="664"/>
      <c r="M2167" s="164"/>
      <c r="N2167" s="511"/>
      <c r="O2167" s="662"/>
      <c r="R2167" s="666"/>
    </row>
    <row r="2168" spans="2:18">
      <c r="B2168" s="660"/>
      <c r="C2168" s="164"/>
      <c r="D2168" s="661"/>
      <c r="G2168" s="661"/>
      <c r="J2168" s="164"/>
      <c r="K2168" s="664"/>
      <c r="L2168" s="664"/>
      <c r="M2168" s="164"/>
      <c r="N2168" s="511"/>
      <c r="O2168" s="662"/>
      <c r="R2168" s="666"/>
    </row>
    <row r="2169" spans="2:18">
      <c r="B2169" s="660"/>
      <c r="C2169" s="164"/>
      <c r="D2169" s="661"/>
      <c r="G2169" s="661"/>
      <c r="J2169" s="164"/>
      <c r="K2169" s="664"/>
      <c r="L2169" s="664"/>
      <c r="M2169" s="164"/>
      <c r="N2169" s="511"/>
      <c r="O2169" s="662"/>
      <c r="R2169" s="666"/>
    </row>
    <row r="2170" spans="2:18">
      <c r="B2170" s="660"/>
      <c r="C2170" s="164"/>
      <c r="D2170" s="661"/>
      <c r="G2170" s="661"/>
      <c r="J2170" s="164"/>
      <c r="K2170" s="664"/>
      <c r="L2170" s="664"/>
      <c r="M2170" s="164"/>
      <c r="N2170" s="511"/>
      <c r="O2170" s="662"/>
      <c r="R2170" s="666"/>
    </row>
    <row r="2171" spans="2:18">
      <c r="B2171" s="660"/>
      <c r="C2171" s="164"/>
      <c r="D2171" s="661"/>
      <c r="G2171" s="661"/>
      <c r="J2171" s="164"/>
      <c r="K2171" s="664"/>
      <c r="L2171" s="664"/>
      <c r="M2171" s="164"/>
      <c r="N2171" s="511"/>
      <c r="O2171" s="662"/>
      <c r="R2171" s="666"/>
    </row>
    <row r="2172" spans="2:18">
      <c r="B2172" s="660"/>
      <c r="C2172" s="164"/>
      <c r="D2172" s="661"/>
      <c r="G2172" s="661"/>
      <c r="J2172" s="164"/>
      <c r="K2172" s="664"/>
      <c r="L2172" s="664"/>
      <c r="M2172" s="164"/>
      <c r="N2172" s="511"/>
      <c r="O2172" s="662"/>
      <c r="R2172" s="666"/>
    </row>
    <row r="2173" spans="2:18">
      <c r="B2173" s="660"/>
      <c r="C2173" s="164"/>
      <c r="D2173" s="661"/>
      <c r="G2173" s="661"/>
      <c r="J2173" s="164"/>
      <c r="K2173" s="664"/>
      <c r="L2173" s="664"/>
      <c r="M2173" s="164"/>
      <c r="N2173" s="511"/>
      <c r="O2173" s="662"/>
      <c r="R2173" s="666"/>
    </row>
    <row r="2174" spans="2:18">
      <c r="B2174" s="660"/>
      <c r="C2174" s="164"/>
      <c r="D2174" s="661"/>
      <c r="G2174" s="661"/>
      <c r="J2174" s="164"/>
      <c r="K2174" s="664"/>
      <c r="L2174" s="664"/>
      <c r="M2174" s="164"/>
      <c r="N2174" s="511"/>
      <c r="O2174" s="662"/>
      <c r="R2174" s="666"/>
    </row>
    <row r="2175" spans="2:18">
      <c r="B2175" s="660"/>
      <c r="C2175" s="164"/>
      <c r="D2175" s="661"/>
      <c r="G2175" s="661"/>
      <c r="J2175" s="164"/>
      <c r="K2175" s="664"/>
      <c r="L2175" s="664"/>
      <c r="M2175" s="164"/>
      <c r="N2175" s="511"/>
      <c r="O2175" s="662"/>
      <c r="R2175" s="666"/>
    </row>
    <row r="2176" spans="2:18">
      <c r="B2176" s="660"/>
      <c r="C2176" s="164"/>
      <c r="D2176" s="661"/>
      <c r="G2176" s="661"/>
      <c r="J2176" s="164"/>
      <c r="K2176" s="664"/>
      <c r="L2176" s="664"/>
      <c r="M2176" s="164"/>
      <c r="N2176" s="511"/>
      <c r="O2176" s="662"/>
      <c r="R2176" s="666"/>
    </row>
    <row r="2177" spans="2:18">
      <c r="B2177" s="660"/>
      <c r="C2177" s="164"/>
      <c r="D2177" s="661"/>
      <c r="G2177" s="661"/>
      <c r="J2177" s="164"/>
      <c r="K2177" s="664"/>
      <c r="L2177" s="664"/>
      <c r="M2177" s="164"/>
      <c r="N2177" s="511"/>
      <c r="O2177" s="662"/>
      <c r="R2177" s="666"/>
    </row>
    <row r="2178" spans="2:18">
      <c r="B2178" s="660"/>
      <c r="C2178" s="164"/>
      <c r="D2178" s="661"/>
      <c r="G2178" s="661"/>
      <c r="J2178" s="164"/>
      <c r="K2178" s="664"/>
      <c r="L2178" s="664"/>
      <c r="M2178" s="164"/>
      <c r="N2178" s="511"/>
      <c r="O2178" s="662"/>
      <c r="R2178" s="666"/>
    </row>
    <row r="2179" spans="2:18">
      <c r="B2179" s="660"/>
      <c r="C2179" s="164"/>
      <c r="D2179" s="661"/>
      <c r="G2179" s="661"/>
      <c r="J2179" s="164"/>
      <c r="K2179" s="664"/>
      <c r="L2179" s="664"/>
      <c r="M2179" s="164"/>
      <c r="N2179" s="511"/>
      <c r="O2179" s="662"/>
      <c r="R2179" s="666"/>
    </row>
    <row r="2180" spans="2:18">
      <c r="B2180" s="660"/>
      <c r="C2180" s="164"/>
      <c r="D2180" s="661"/>
      <c r="G2180" s="661"/>
      <c r="J2180" s="164"/>
      <c r="K2180" s="664"/>
      <c r="L2180" s="664"/>
      <c r="M2180" s="164"/>
      <c r="N2180" s="511"/>
      <c r="O2180" s="662"/>
      <c r="R2180" s="666"/>
    </row>
    <row r="2181" spans="2:18">
      <c r="B2181" s="660"/>
      <c r="C2181" s="164"/>
      <c r="D2181" s="661"/>
      <c r="G2181" s="661"/>
      <c r="J2181" s="164"/>
      <c r="K2181" s="664"/>
      <c r="L2181" s="664"/>
      <c r="M2181" s="164"/>
      <c r="N2181" s="511"/>
      <c r="O2181" s="662"/>
      <c r="R2181" s="666"/>
    </row>
    <row r="2182" spans="2:18">
      <c r="B2182" s="660"/>
      <c r="C2182" s="164"/>
      <c r="D2182" s="661"/>
      <c r="G2182" s="661"/>
      <c r="J2182" s="164"/>
      <c r="K2182" s="664"/>
      <c r="L2182" s="664"/>
      <c r="M2182" s="164"/>
      <c r="N2182" s="511"/>
      <c r="O2182" s="662"/>
      <c r="R2182" s="666"/>
    </row>
    <row r="2183" spans="2:18">
      <c r="B2183" s="660"/>
      <c r="C2183" s="164"/>
      <c r="D2183" s="661"/>
      <c r="G2183" s="661"/>
      <c r="J2183" s="164"/>
      <c r="K2183" s="664"/>
      <c r="L2183" s="664"/>
      <c r="M2183" s="164"/>
      <c r="N2183" s="511"/>
      <c r="O2183" s="662"/>
      <c r="R2183" s="666"/>
    </row>
    <row r="2184" spans="2:18">
      <c r="B2184" s="660"/>
      <c r="C2184" s="164"/>
      <c r="D2184" s="661"/>
      <c r="G2184" s="661"/>
      <c r="J2184" s="164"/>
      <c r="K2184" s="664"/>
      <c r="L2184" s="664"/>
      <c r="M2184" s="164"/>
      <c r="N2184" s="511"/>
      <c r="O2184" s="662"/>
      <c r="R2184" s="666"/>
    </row>
    <row r="2185" spans="2:18">
      <c r="B2185" s="660"/>
      <c r="C2185" s="164"/>
      <c r="D2185" s="661"/>
      <c r="G2185" s="661"/>
      <c r="J2185" s="164"/>
      <c r="K2185" s="664"/>
      <c r="L2185" s="664"/>
      <c r="M2185" s="164"/>
      <c r="N2185" s="511"/>
      <c r="O2185" s="662"/>
      <c r="R2185" s="666"/>
    </row>
    <row r="2186" spans="2:18">
      <c r="B2186" s="660"/>
      <c r="C2186" s="164"/>
      <c r="D2186" s="661"/>
      <c r="G2186" s="661"/>
      <c r="J2186" s="164"/>
      <c r="K2186" s="664"/>
      <c r="L2186" s="664"/>
      <c r="M2186" s="164"/>
      <c r="N2186" s="511"/>
      <c r="O2186" s="662"/>
      <c r="R2186" s="666"/>
    </row>
    <row r="2187" spans="2:18">
      <c r="B2187" s="660"/>
      <c r="C2187" s="164"/>
      <c r="D2187" s="661"/>
      <c r="G2187" s="661"/>
      <c r="J2187" s="164"/>
      <c r="K2187" s="664"/>
      <c r="L2187" s="664"/>
      <c r="M2187" s="164"/>
      <c r="N2187" s="511"/>
      <c r="O2187" s="662"/>
      <c r="R2187" s="666"/>
    </row>
    <row r="2188" spans="2:18">
      <c r="B2188" s="660"/>
      <c r="C2188" s="164"/>
      <c r="D2188" s="661"/>
      <c r="G2188" s="661"/>
      <c r="J2188" s="164"/>
      <c r="K2188" s="664"/>
      <c r="L2188" s="664"/>
      <c r="M2188" s="164"/>
      <c r="N2188" s="511"/>
      <c r="O2188" s="662"/>
      <c r="R2188" s="666"/>
    </row>
    <row r="2189" spans="2:18">
      <c r="B2189" s="660"/>
      <c r="C2189" s="164"/>
      <c r="D2189" s="661"/>
      <c r="G2189" s="661"/>
      <c r="J2189" s="164"/>
      <c r="K2189" s="664"/>
      <c r="L2189" s="664"/>
      <c r="M2189" s="164"/>
      <c r="N2189" s="511"/>
      <c r="O2189" s="662"/>
      <c r="R2189" s="666"/>
    </row>
    <row r="2190" spans="2:18">
      <c r="B2190" s="660"/>
      <c r="C2190" s="164"/>
      <c r="D2190" s="661"/>
      <c r="G2190" s="661"/>
      <c r="J2190" s="164"/>
      <c r="K2190" s="664"/>
      <c r="L2190" s="664"/>
      <c r="M2190" s="164"/>
      <c r="N2190" s="511"/>
      <c r="O2190" s="662"/>
      <c r="R2190" s="666"/>
    </row>
    <row r="2191" spans="2:18">
      <c r="B2191" s="660"/>
      <c r="C2191" s="164"/>
      <c r="D2191" s="661"/>
      <c r="G2191" s="661"/>
      <c r="J2191" s="164"/>
      <c r="K2191" s="664"/>
      <c r="L2191" s="664"/>
      <c r="M2191" s="164"/>
      <c r="N2191" s="511"/>
      <c r="O2191" s="662"/>
      <c r="R2191" s="666"/>
    </row>
    <row r="2192" spans="2:18">
      <c r="B2192" s="660"/>
      <c r="C2192" s="164"/>
      <c r="D2192" s="661"/>
      <c r="G2192" s="661"/>
      <c r="J2192" s="164"/>
      <c r="K2192" s="664"/>
      <c r="L2192" s="664"/>
      <c r="M2192" s="164"/>
      <c r="N2192" s="511"/>
      <c r="O2192" s="662"/>
      <c r="R2192" s="666"/>
    </row>
    <row r="2193" spans="2:18">
      <c r="B2193" s="660"/>
      <c r="C2193" s="164"/>
      <c r="D2193" s="661"/>
      <c r="G2193" s="661"/>
      <c r="J2193" s="164"/>
      <c r="K2193" s="664"/>
      <c r="L2193" s="664"/>
      <c r="M2193" s="164"/>
      <c r="N2193" s="511"/>
      <c r="O2193" s="662"/>
      <c r="R2193" s="666"/>
    </row>
    <row r="2194" spans="2:18">
      <c r="B2194" s="660"/>
      <c r="C2194" s="164"/>
      <c r="D2194" s="661"/>
      <c r="G2194" s="661"/>
      <c r="J2194" s="164"/>
      <c r="K2194" s="664"/>
      <c r="L2194" s="664"/>
      <c r="M2194" s="164"/>
      <c r="N2194" s="511"/>
      <c r="O2194" s="662"/>
      <c r="R2194" s="666"/>
    </row>
    <row r="2195" spans="2:18">
      <c r="B2195" s="660"/>
      <c r="C2195" s="164"/>
      <c r="D2195" s="661"/>
      <c r="G2195" s="661"/>
      <c r="J2195" s="164"/>
      <c r="K2195" s="664"/>
      <c r="L2195" s="664"/>
      <c r="M2195" s="164"/>
      <c r="N2195" s="511"/>
      <c r="O2195" s="662"/>
      <c r="R2195" s="666"/>
    </row>
    <row r="2196" spans="2:18">
      <c r="B2196" s="660"/>
      <c r="C2196" s="164"/>
      <c r="D2196" s="661"/>
      <c r="G2196" s="661"/>
      <c r="J2196" s="164"/>
      <c r="K2196" s="664"/>
      <c r="L2196" s="664"/>
      <c r="M2196" s="164"/>
      <c r="N2196" s="511"/>
      <c r="O2196" s="662"/>
      <c r="R2196" s="666"/>
    </row>
    <row r="2197" spans="2:18">
      <c r="B2197" s="660"/>
      <c r="C2197" s="164"/>
      <c r="D2197" s="661"/>
      <c r="G2197" s="661"/>
      <c r="J2197" s="164"/>
      <c r="K2197" s="664"/>
      <c r="L2197" s="664"/>
      <c r="M2197" s="164"/>
      <c r="N2197" s="511"/>
      <c r="O2197" s="662"/>
      <c r="R2197" s="666"/>
    </row>
    <row r="2198" spans="2:18">
      <c r="B2198" s="660"/>
      <c r="C2198" s="164"/>
      <c r="D2198" s="661"/>
      <c r="G2198" s="661"/>
      <c r="J2198" s="164"/>
      <c r="K2198" s="664"/>
      <c r="L2198" s="664"/>
      <c r="M2198" s="164"/>
      <c r="N2198" s="511"/>
      <c r="O2198" s="662"/>
      <c r="R2198" s="666"/>
    </row>
    <row r="2199" spans="2:18">
      <c r="B2199" s="660"/>
      <c r="C2199" s="164"/>
      <c r="D2199" s="661"/>
      <c r="G2199" s="661"/>
      <c r="J2199" s="164"/>
      <c r="K2199" s="664"/>
      <c r="L2199" s="664"/>
      <c r="M2199" s="164"/>
      <c r="N2199" s="511"/>
      <c r="O2199" s="662"/>
      <c r="R2199" s="666"/>
    </row>
    <row r="2200" spans="2:18">
      <c r="B2200" s="660"/>
      <c r="C2200" s="164"/>
      <c r="D2200" s="661"/>
      <c r="G2200" s="661"/>
      <c r="J2200" s="164"/>
      <c r="K2200" s="664"/>
      <c r="L2200" s="664"/>
      <c r="M2200" s="164"/>
      <c r="N2200" s="511"/>
      <c r="O2200" s="662"/>
      <c r="R2200" s="666"/>
    </row>
    <row r="2201" spans="2:18">
      <c r="B2201" s="660"/>
      <c r="C2201" s="164"/>
      <c r="D2201" s="661"/>
      <c r="G2201" s="661"/>
      <c r="J2201" s="164"/>
      <c r="K2201" s="664"/>
      <c r="L2201" s="664"/>
      <c r="M2201" s="164"/>
      <c r="N2201" s="511"/>
      <c r="O2201" s="662"/>
      <c r="R2201" s="666"/>
    </row>
    <row r="2202" spans="2:18">
      <c r="B2202" s="660"/>
      <c r="C2202" s="164"/>
      <c r="D2202" s="661"/>
      <c r="G2202" s="661"/>
      <c r="J2202" s="164"/>
      <c r="K2202" s="664"/>
      <c r="L2202" s="664"/>
      <c r="M2202" s="164"/>
      <c r="N2202" s="511"/>
      <c r="O2202" s="662"/>
      <c r="R2202" s="666"/>
    </row>
    <row r="2203" spans="2:18">
      <c r="B2203" s="660"/>
      <c r="C2203" s="164"/>
      <c r="D2203" s="661"/>
      <c r="G2203" s="661"/>
      <c r="J2203" s="164"/>
      <c r="K2203" s="664"/>
      <c r="L2203" s="664"/>
      <c r="M2203" s="164"/>
      <c r="N2203" s="511"/>
      <c r="O2203" s="662"/>
      <c r="R2203" s="666"/>
    </row>
    <row r="2204" spans="2:18">
      <c r="B2204" s="660"/>
      <c r="C2204" s="164"/>
      <c r="D2204" s="661"/>
      <c r="G2204" s="661"/>
      <c r="J2204" s="164"/>
      <c r="K2204" s="664"/>
      <c r="L2204" s="664"/>
      <c r="M2204" s="164"/>
      <c r="N2204" s="511"/>
      <c r="O2204" s="662"/>
      <c r="R2204" s="666"/>
    </row>
    <row r="2205" spans="2:18">
      <c r="B2205" s="660"/>
      <c r="C2205" s="164"/>
      <c r="D2205" s="661"/>
      <c r="G2205" s="661"/>
      <c r="J2205" s="164"/>
      <c r="K2205" s="664"/>
      <c r="L2205" s="664"/>
      <c r="M2205" s="164"/>
      <c r="N2205" s="511"/>
      <c r="O2205" s="662"/>
      <c r="R2205" s="666"/>
    </row>
    <row r="2206" spans="2:18">
      <c r="B2206" s="660"/>
      <c r="C2206" s="164"/>
      <c r="D2206" s="661"/>
      <c r="G2206" s="661"/>
      <c r="J2206" s="164"/>
      <c r="K2206" s="664"/>
      <c r="L2206" s="664"/>
      <c r="M2206" s="164"/>
      <c r="N2206" s="511"/>
      <c r="O2206" s="662"/>
      <c r="R2206" s="666"/>
    </row>
    <row r="2207" spans="2:18">
      <c r="B2207" s="660"/>
      <c r="C2207" s="164"/>
      <c r="D2207" s="661"/>
      <c r="G2207" s="661"/>
      <c r="J2207" s="164"/>
      <c r="K2207" s="664"/>
      <c r="L2207" s="664"/>
      <c r="M2207" s="164"/>
      <c r="N2207" s="511"/>
      <c r="O2207" s="662"/>
      <c r="R2207" s="666"/>
    </row>
    <row r="2208" spans="2:18">
      <c r="B2208" s="660"/>
      <c r="C2208" s="164"/>
      <c r="D2208" s="661"/>
      <c r="G2208" s="661"/>
      <c r="J2208" s="164"/>
      <c r="K2208" s="664"/>
      <c r="L2208" s="664"/>
      <c r="M2208" s="164"/>
      <c r="N2208" s="511"/>
      <c r="O2208" s="662"/>
      <c r="R2208" s="666"/>
    </row>
    <row r="2209" spans="2:18">
      <c r="B2209" s="660"/>
      <c r="C2209" s="164"/>
      <c r="D2209" s="661"/>
      <c r="G2209" s="661"/>
      <c r="J2209" s="164"/>
      <c r="K2209" s="664"/>
      <c r="L2209" s="664"/>
      <c r="M2209" s="164"/>
      <c r="N2209" s="511"/>
      <c r="O2209" s="662"/>
      <c r="R2209" s="666"/>
    </row>
    <row r="2210" spans="2:18">
      <c r="B2210" s="660"/>
      <c r="C2210" s="164"/>
      <c r="D2210" s="661"/>
      <c r="G2210" s="661"/>
      <c r="J2210" s="164"/>
      <c r="K2210" s="664"/>
      <c r="L2210" s="664"/>
      <c r="M2210" s="164"/>
      <c r="N2210" s="511"/>
      <c r="O2210" s="662"/>
      <c r="R2210" s="666"/>
    </row>
    <row r="2211" spans="2:18">
      <c r="B2211" s="660"/>
      <c r="C2211" s="164"/>
      <c r="D2211" s="661"/>
      <c r="G2211" s="661"/>
      <c r="J2211" s="164"/>
      <c r="K2211" s="664"/>
      <c r="L2211" s="664"/>
      <c r="M2211" s="164"/>
      <c r="N2211" s="511"/>
      <c r="O2211" s="662"/>
      <c r="R2211" s="666"/>
    </row>
    <row r="2212" spans="2:18">
      <c r="B2212" s="660"/>
      <c r="C2212" s="164"/>
      <c r="D2212" s="661"/>
      <c r="G2212" s="661"/>
      <c r="J2212" s="164"/>
      <c r="K2212" s="664"/>
      <c r="L2212" s="664"/>
      <c r="M2212" s="164"/>
      <c r="N2212" s="511"/>
      <c r="O2212" s="662"/>
      <c r="R2212" s="666"/>
    </row>
    <row r="2213" spans="2:18">
      <c r="B2213" s="660"/>
      <c r="C2213" s="164"/>
      <c r="D2213" s="661"/>
      <c r="G2213" s="661"/>
      <c r="J2213" s="164"/>
      <c r="K2213" s="664"/>
      <c r="L2213" s="664"/>
      <c r="M2213" s="164"/>
      <c r="N2213" s="511"/>
      <c r="O2213" s="662"/>
      <c r="R2213" s="666"/>
    </row>
    <row r="2214" spans="2:18">
      <c r="B2214" s="660"/>
      <c r="C2214" s="164"/>
      <c r="D2214" s="661"/>
      <c r="G2214" s="661"/>
      <c r="J2214" s="164"/>
      <c r="K2214" s="664"/>
      <c r="L2214" s="664"/>
      <c r="M2214" s="164"/>
      <c r="N2214" s="511"/>
      <c r="O2214" s="662"/>
      <c r="R2214" s="666"/>
    </row>
    <row r="2215" spans="2:18">
      <c r="B2215" s="660"/>
      <c r="C2215" s="164"/>
      <c r="D2215" s="661"/>
      <c r="G2215" s="661"/>
      <c r="J2215" s="164"/>
      <c r="K2215" s="664"/>
      <c r="L2215" s="664"/>
      <c r="M2215" s="164"/>
      <c r="N2215" s="511"/>
      <c r="O2215" s="662"/>
      <c r="R2215" s="666"/>
    </row>
    <row r="2216" spans="2:18">
      <c r="B2216" s="660"/>
      <c r="C2216" s="164"/>
      <c r="D2216" s="661"/>
      <c r="G2216" s="661"/>
      <c r="J2216" s="164"/>
      <c r="K2216" s="664"/>
      <c r="L2216" s="664"/>
      <c r="M2216" s="164"/>
      <c r="N2216" s="511"/>
      <c r="O2216" s="662"/>
      <c r="R2216" s="666"/>
    </row>
    <row r="2217" spans="2:18">
      <c r="B2217" s="660"/>
      <c r="C2217" s="164"/>
      <c r="D2217" s="661"/>
      <c r="G2217" s="661"/>
      <c r="J2217" s="164"/>
      <c r="K2217" s="664"/>
      <c r="L2217" s="664"/>
      <c r="M2217" s="164"/>
      <c r="N2217" s="511"/>
      <c r="O2217" s="662"/>
      <c r="R2217" s="666"/>
    </row>
    <row r="2218" spans="2:18">
      <c r="B2218" s="660"/>
      <c r="C2218" s="164"/>
      <c r="D2218" s="661"/>
      <c r="G2218" s="661"/>
      <c r="J2218" s="164"/>
      <c r="K2218" s="664"/>
      <c r="L2218" s="664"/>
      <c r="M2218" s="164"/>
      <c r="N2218" s="511"/>
      <c r="O2218" s="662"/>
      <c r="R2218" s="666"/>
    </row>
    <row r="2219" spans="2:18">
      <c r="B2219" s="660"/>
      <c r="C2219" s="164"/>
      <c r="D2219" s="661"/>
      <c r="G2219" s="661"/>
      <c r="J2219" s="164"/>
      <c r="K2219" s="664"/>
      <c r="L2219" s="664"/>
      <c r="M2219" s="164"/>
      <c r="N2219" s="511"/>
      <c r="O2219" s="662"/>
      <c r="R2219" s="666"/>
    </row>
    <row r="2220" spans="2:18">
      <c r="B2220" s="660"/>
      <c r="C2220" s="164"/>
      <c r="D2220" s="661"/>
      <c r="G2220" s="661"/>
      <c r="J2220" s="164"/>
      <c r="K2220" s="664"/>
      <c r="L2220" s="664"/>
      <c r="M2220" s="164"/>
      <c r="N2220" s="511"/>
      <c r="O2220" s="662"/>
      <c r="R2220" s="666"/>
    </row>
    <row r="2221" spans="2:18">
      <c r="B2221" s="660"/>
      <c r="C2221" s="164"/>
      <c r="D2221" s="661"/>
      <c r="G2221" s="661"/>
      <c r="J2221" s="164"/>
      <c r="K2221" s="664"/>
      <c r="L2221" s="664"/>
      <c r="M2221" s="164"/>
      <c r="N2221" s="511"/>
      <c r="O2221" s="662"/>
      <c r="R2221" s="666"/>
    </row>
    <row r="2222" spans="2:18">
      <c r="B2222" s="660"/>
      <c r="C2222" s="164"/>
      <c r="D2222" s="661"/>
      <c r="G2222" s="661"/>
      <c r="J2222" s="164"/>
      <c r="K2222" s="664"/>
      <c r="L2222" s="664"/>
      <c r="M2222" s="164"/>
      <c r="N2222" s="511"/>
      <c r="O2222" s="662"/>
      <c r="R2222" s="666"/>
    </row>
    <row r="2223" spans="2:18">
      <c r="B2223" s="660"/>
      <c r="C2223" s="164"/>
      <c r="D2223" s="661"/>
      <c r="G2223" s="661"/>
      <c r="J2223" s="164"/>
      <c r="K2223" s="664"/>
      <c r="L2223" s="664"/>
      <c r="M2223" s="164"/>
      <c r="N2223" s="511"/>
      <c r="O2223" s="662"/>
      <c r="R2223" s="666"/>
    </row>
    <row r="2224" spans="2:18">
      <c r="B2224" s="660"/>
      <c r="C2224" s="164"/>
      <c r="D2224" s="661"/>
      <c r="G2224" s="661"/>
      <c r="J2224" s="164"/>
      <c r="K2224" s="664"/>
      <c r="L2224" s="664"/>
      <c r="M2224" s="164"/>
      <c r="N2224" s="511"/>
      <c r="O2224" s="662"/>
      <c r="R2224" s="666"/>
    </row>
    <row r="2225" spans="2:18">
      <c r="B2225" s="660"/>
      <c r="C2225" s="164"/>
      <c r="D2225" s="661"/>
      <c r="G2225" s="661"/>
      <c r="J2225" s="164"/>
      <c r="K2225" s="664"/>
      <c r="L2225" s="664"/>
      <c r="M2225" s="164"/>
      <c r="N2225" s="511"/>
      <c r="O2225" s="662"/>
      <c r="R2225" s="666"/>
    </row>
    <row r="2226" spans="2:18">
      <c r="B2226" s="660"/>
      <c r="C2226" s="164"/>
      <c r="D2226" s="661"/>
      <c r="G2226" s="661"/>
      <c r="J2226" s="164"/>
      <c r="K2226" s="664"/>
      <c r="L2226" s="664"/>
      <c r="M2226" s="164"/>
      <c r="N2226" s="511"/>
      <c r="O2226" s="662"/>
      <c r="R2226" s="666"/>
    </row>
    <row r="2227" spans="2:18">
      <c r="B2227" s="660"/>
      <c r="C2227" s="164"/>
      <c r="D2227" s="661"/>
      <c r="G2227" s="661"/>
      <c r="J2227" s="164"/>
      <c r="K2227" s="664"/>
      <c r="L2227" s="664"/>
      <c r="M2227" s="164"/>
      <c r="N2227" s="511"/>
      <c r="O2227" s="662"/>
      <c r="R2227" s="666"/>
    </row>
    <row r="2228" spans="2:18">
      <c r="B2228" s="660"/>
      <c r="C2228" s="164"/>
      <c r="D2228" s="661"/>
      <c r="G2228" s="661"/>
      <c r="J2228" s="164"/>
      <c r="K2228" s="664"/>
      <c r="L2228" s="664"/>
      <c r="M2228" s="164"/>
      <c r="N2228" s="511"/>
      <c r="O2228" s="662"/>
      <c r="R2228" s="666"/>
    </row>
    <row r="2229" spans="2:18">
      <c r="B2229" s="660"/>
      <c r="C2229" s="164"/>
      <c r="D2229" s="661"/>
      <c r="G2229" s="661"/>
      <c r="J2229" s="164"/>
      <c r="K2229" s="664"/>
      <c r="L2229" s="664"/>
      <c r="M2229" s="164"/>
      <c r="N2229" s="511"/>
      <c r="O2229" s="662"/>
      <c r="R2229" s="666"/>
    </row>
    <row r="2230" spans="2:18">
      <c r="B2230" s="660"/>
      <c r="C2230" s="164"/>
      <c r="D2230" s="661"/>
      <c r="G2230" s="661"/>
      <c r="J2230" s="164"/>
      <c r="K2230" s="664"/>
      <c r="L2230" s="664"/>
      <c r="M2230" s="164"/>
      <c r="N2230" s="511"/>
      <c r="O2230" s="662"/>
      <c r="R2230" s="666"/>
    </row>
    <row r="2231" spans="2:18">
      <c r="B2231" s="660"/>
      <c r="C2231" s="164"/>
      <c r="D2231" s="661"/>
      <c r="G2231" s="661"/>
      <c r="J2231" s="164"/>
      <c r="K2231" s="664"/>
      <c r="L2231" s="664"/>
      <c r="M2231" s="164"/>
      <c r="N2231" s="511"/>
      <c r="O2231" s="662"/>
      <c r="R2231" s="666"/>
    </row>
    <row r="2232" spans="2:18">
      <c r="B2232" s="660"/>
      <c r="C2232" s="164"/>
      <c r="D2232" s="661"/>
      <c r="G2232" s="661"/>
      <c r="J2232" s="164"/>
      <c r="K2232" s="664"/>
      <c r="L2232" s="664"/>
      <c r="M2232" s="164"/>
      <c r="N2232" s="511"/>
      <c r="O2232" s="662"/>
      <c r="R2232" s="666"/>
    </row>
    <row r="2233" spans="2:18">
      <c r="B2233" s="660"/>
      <c r="C2233" s="164"/>
      <c r="D2233" s="661"/>
      <c r="G2233" s="661"/>
      <c r="J2233" s="164"/>
      <c r="K2233" s="664"/>
      <c r="L2233" s="664"/>
      <c r="M2233" s="164"/>
      <c r="N2233" s="511"/>
      <c r="O2233" s="662"/>
      <c r="R2233" s="666"/>
    </row>
    <row r="2234" spans="2:18">
      <c r="B2234" s="660"/>
      <c r="C2234" s="164"/>
      <c r="D2234" s="661"/>
      <c r="G2234" s="661"/>
      <c r="J2234" s="164"/>
      <c r="K2234" s="664"/>
      <c r="L2234" s="664"/>
      <c r="M2234" s="164"/>
      <c r="N2234" s="511"/>
      <c r="O2234" s="662"/>
      <c r="R2234" s="666"/>
    </row>
    <row r="2235" spans="2:18">
      <c r="B2235" s="660"/>
      <c r="C2235" s="164"/>
      <c r="D2235" s="661"/>
      <c r="G2235" s="661"/>
      <c r="J2235" s="164"/>
      <c r="K2235" s="664"/>
      <c r="L2235" s="664"/>
      <c r="M2235" s="164"/>
      <c r="N2235" s="511"/>
      <c r="O2235" s="662"/>
      <c r="R2235" s="666"/>
    </row>
    <row r="2236" spans="2:18">
      <c r="B2236" s="660"/>
      <c r="C2236" s="164"/>
      <c r="D2236" s="661"/>
      <c r="G2236" s="661"/>
      <c r="J2236" s="164"/>
      <c r="K2236" s="664"/>
      <c r="L2236" s="664"/>
      <c r="M2236" s="164"/>
      <c r="N2236" s="511"/>
      <c r="O2236" s="662"/>
      <c r="R2236" s="666"/>
    </row>
    <row r="2237" spans="2:18">
      <c r="B2237" s="660"/>
      <c r="C2237" s="164"/>
      <c r="D2237" s="661"/>
      <c r="G2237" s="661"/>
      <c r="J2237" s="164"/>
      <c r="K2237" s="664"/>
      <c r="L2237" s="664"/>
      <c r="M2237" s="164"/>
      <c r="N2237" s="511"/>
      <c r="O2237" s="662"/>
      <c r="R2237" s="666"/>
    </row>
    <row r="2238" spans="2:18">
      <c r="B2238" s="660"/>
      <c r="C2238" s="164"/>
      <c r="D2238" s="661"/>
      <c r="G2238" s="661"/>
      <c r="J2238" s="164"/>
      <c r="K2238" s="664"/>
      <c r="L2238" s="664"/>
      <c r="M2238" s="164"/>
      <c r="N2238" s="511"/>
      <c r="O2238" s="662"/>
      <c r="R2238" s="666"/>
    </row>
    <row r="2239" spans="2:18">
      <c r="B2239" s="660"/>
      <c r="C2239" s="164"/>
      <c r="D2239" s="661"/>
      <c r="G2239" s="661"/>
      <c r="J2239" s="164"/>
      <c r="K2239" s="664"/>
      <c r="L2239" s="664"/>
      <c r="M2239" s="164"/>
      <c r="N2239" s="511"/>
      <c r="O2239" s="662"/>
      <c r="R2239" s="666"/>
    </row>
    <row r="2240" spans="2:18">
      <c r="B2240" s="660"/>
      <c r="C2240" s="164"/>
      <c r="D2240" s="661"/>
      <c r="G2240" s="661"/>
      <c r="J2240" s="164"/>
      <c r="K2240" s="664"/>
      <c r="L2240" s="664"/>
      <c r="M2240" s="164"/>
      <c r="N2240" s="511"/>
      <c r="O2240" s="662"/>
      <c r="R2240" s="666"/>
    </row>
    <row r="2241" spans="2:18">
      <c r="B2241" s="660"/>
      <c r="C2241" s="164"/>
      <c r="D2241" s="661"/>
      <c r="G2241" s="661"/>
      <c r="J2241" s="164"/>
      <c r="K2241" s="664"/>
      <c r="L2241" s="664"/>
      <c r="M2241" s="164"/>
      <c r="N2241" s="511"/>
      <c r="O2241" s="662"/>
      <c r="R2241" s="666"/>
    </row>
    <row r="2242" spans="2:18">
      <c r="B2242" s="660"/>
      <c r="C2242" s="164"/>
      <c r="D2242" s="661"/>
      <c r="G2242" s="661"/>
      <c r="J2242" s="164"/>
      <c r="K2242" s="664"/>
      <c r="L2242" s="664"/>
      <c r="M2242" s="164"/>
      <c r="N2242" s="511"/>
      <c r="O2242" s="662"/>
      <c r="R2242" s="666"/>
    </row>
    <row r="2243" spans="2:18">
      <c r="B2243" s="660"/>
      <c r="C2243" s="164"/>
      <c r="D2243" s="661"/>
      <c r="G2243" s="661"/>
      <c r="J2243" s="164"/>
      <c r="K2243" s="664"/>
      <c r="L2243" s="664"/>
      <c r="M2243" s="164"/>
      <c r="N2243" s="511"/>
      <c r="O2243" s="662"/>
      <c r="R2243" s="666"/>
    </row>
    <row r="2244" spans="2:18">
      <c r="B2244" s="660"/>
      <c r="C2244" s="164"/>
      <c r="D2244" s="661"/>
      <c r="G2244" s="661"/>
      <c r="J2244" s="164"/>
      <c r="K2244" s="664"/>
      <c r="L2244" s="664"/>
      <c r="M2244" s="164"/>
      <c r="N2244" s="511"/>
      <c r="O2244" s="662"/>
      <c r="R2244" s="666"/>
    </row>
    <row r="2245" spans="2:18">
      <c r="B2245" s="660"/>
      <c r="C2245" s="164"/>
      <c r="D2245" s="661"/>
      <c r="G2245" s="661"/>
      <c r="J2245" s="164"/>
      <c r="K2245" s="664"/>
      <c r="L2245" s="664"/>
      <c r="M2245" s="164"/>
      <c r="N2245" s="511"/>
      <c r="O2245" s="662"/>
      <c r="R2245" s="666"/>
    </row>
    <row r="2246" spans="2:18">
      <c r="B2246" s="660"/>
      <c r="C2246" s="164"/>
      <c r="D2246" s="661"/>
      <c r="G2246" s="661"/>
      <c r="J2246" s="164"/>
      <c r="K2246" s="664"/>
      <c r="L2246" s="664"/>
      <c r="M2246" s="164"/>
      <c r="N2246" s="511"/>
      <c r="O2246" s="662"/>
      <c r="R2246" s="666"/>
    </row>
    <row r="2247" spans="2:18">
      <c r="B2247" s="660"/>
      <c r="C2247" s="164"/>
      <c r="D2247" s="661"/>
      <c r="G2247" s="661"/>
      <c r="J2247" s="164"/>
      <c r="K2247" s="664"/>
      <c r="L2247" s="664"/>
      <c r="M2247" s="164"/>
      <c r="N2247" s="511"/>
      <c r="O2247" s="662"/>
      <c r="R2247" s="666"/>
    </row>
    <row r="2248" spans="2:18">
      <c r="B2248" s="660"/>
      <c r="C2248" s="164"/>
      <c r="D2248" s="661"/>
      <c r="G2248" s="661"/>
      <c r="J2248" s="164"/>
      <c r="K2248" s="664"/>
      <c r="L2248" s="664"/>
      <c r="M2248" s="164"/>
      <c r="N2248" s="511"/>
      <c r="O2248" s="662"/>
      <c r="R2248" s="666"/>
    </row>
    <row r="2249" spans="2:18">
      <c r="B2249" s="660"/>
      <c r="C2249" s="164"/>
      <c r="D2249" s="661"/>
      <c r="G2249" s="661"/>
      <c r="J2249" s="164"/>
      <c r="K2249" s="664"/>
      <c r="L2249" s="664"/>
      <c r="M2249" s="164"/>
      <c r="N2249" s="511"/>
      <c r="O2249" s="662"/>
      <c r="R2249" s="666"/>
    </row>
    <row r="2250" spans="2:18">
      <c r="B2250" s="660"/>
      <c r="C2250" s="164"/>
      <c r="D2250" s="661"/>
      <c r="G2250" s="661"/>
      <c r="J2250" s="164"/>
      <c r="K2250" s="664"/>
      <c r="L2250" s="664"/>
      <c r="M2250" s="164"/>
      <c r="N2250" s="511"/>
      <c r="O2250" s="662"/>
      <c r="R2250" s="666"/>
    </row>
    <row r="2251" spans="2:18">
      <c r="B2251" s="660"/>
      <c r="C2251" s="164"/>
      <c r="D2251" s="661"/>
      <c r="G2251" s="661"/>
      <c r="J2251" s="164"/>
      <c r="K2251" s="664"/>
      <c r="L2251" s="664"/>
      <c r="M2251" s="164"/>
      <c r="N2251" s="511"/>
      <c r="O2251" s="662"/>
      <c r="R2251" s="666"/>
    </row>
    <row r="2252" spans="2:18">
      <c r="B2252" s="660"/>
      <c r="C2252" s="164"/>
      <c r="D2252" s="661"/>
      <c r="G2252" s="661"/>
      <c r="J2252" s="164"/>
      <c r="K2252" s="664"/>
      <c r="L2252" s="664"/>
      <c r="M2252" s="164"/>
      <c r="N2252" s="511"/>
      <c r="O2252" s="662"/>
      <c r="R2252" s="666"/>
    </row>
    <row r="2253" spans="2:18">
      <c r="B2253" s="660"/>
      <c r="C2253" s="164"/>
      <c r="D2253" s="661"/>
      <c r="G2253" s="661"/>
      <c r="J2253" s="164"/>
      <c r="K2253" s="664"/>
      <c r="L2253" s="664"/>
      <c r="M2253" s="164"/>
      <c r="N2253" s="511"/>
      <c r="O2253" s="662"/>
      <c r="R2253" s="666"/>
    </row>
    <row r="2254" spans="2:18">
      <c r="B2254" s="660"/>
      <c r="C2254" s="164"/>
      <c r="D2254" s="661"/>
      <c r="G2254" s="661"/>
      <c r="J2254" s="164"/>
      <c r="K2254" s="664"/>
      <c r="L2254" s="664"/>
      <c r="M2254" s="164"/>
      <c r="N2254" s="511"/>
      <c r="O2254" s="662"/>
      <c r="R2254" s="666"/>
    </row>
    <row r="2255" spans="2:18">
      <c r="B2255" s="660"/>
      <c r="C2255" s="164"/>
      <c r="D2255" s="661"/>
      <c r="G2255" s="661"/>
      <c r="J2255" s="164"/>
      <c r="K2255" s="664"/>
      <c r="L2255" s="664"/>
      <c r="M2255" s="164"/>
      <c r="N2255" s="511"/>
      <c r="O2255" s="662"/>
      <c r="R2255" s="666"/>
    </row>
    <row r="2256" spans="2:18">
      <c r="B2256" s="660"/>
      <c r="C2256" s="164"/>
      <c r="D2256" s="661"/>
      <c r="G2256" s="661"/>
      <c r="J2256" s="164"/>
      <c r="K2256" s="664"/>
      <c r="L2256" s="664"/>
      <c r="M2256" s="164"/>
      <c r="N2256" s="511"/>
      <c r="O2256" s="662"/>
      <c r="R2256" s="666"/>
    </row>
    <row r="2257" spans="2:18">
      <c r="B2257" s="660"/>
      <c r="C2257" s="164"/>
      <c r="D2257" s="661"/>
      <c r="G2257" s="661"/>
      <c r="J2257" s="164"/>
      <c r="K2257" s="664"/>
      <c r="L2257" s="664"/>
      <c r="M2257" s="164"/>
      <c r="N2257" s="511"/>
      <c r="O2257" s="662"/>
      <c r="R2257" s="666"/>
    </row>
    <row r="2258" spans="2:18">
      <c r="B2258" s="660"/>
      <c r="C2258" s="164"/>
      <c r="D2258" s="661"/>
      <c r="G2258" s="661"/>
      <c r="J2258" s="164"/>
      <c r="K2258" s="664"/>
      <c r="L2258" s="664"/>
      <c r="M2258" s="164"/>
      <c r="N2258" s="511"/>
      <c r="O2258" s="662"/>
      <c r="R2258" s="666"/>
    </row>
  </sheetData>
  <sheetProtection selectLockedCells="1" selectUnlockedCells="1"/>
  <autoFilter xmlns:x14="http://schemas.microsoft.com/office/spreadsheetml/2009/9/main" ref="V1:V2258" xr:uid="{00000000-0009-0000-0000-000003000000}">
    <filterColumn colId="0">
      <filters blank="1">
        <mc:AlternateContent xmlns:mc="http://schemas.openxmlformats.org/markup-compatibility/2006">
          <mc:Choice Requires="x14">
            <x14:filter val="#DIV/0!"/>
            <x14:filter val="#REF!"/>
            <x14:filter val="0,000"/>
            <x14:filter val="0,162"/>
            <x14:filter val="0,972"/>
            <x14:filter val="1,000"/>
            <x14:filter val="1.216,192"/>
            <x14:filter val="1.414,237"/>
            <x14:filter val="1.659,240"/>
            <x14:filter val="1.694,000"/>
            <x14:filter val="10,000"/>
            <x14:filter val="10.342,181"/>
            <x14:filter val="102,000"/>
            <x14:filter val="103,224"/>
            <x14:filter val="12,000"/>
            <x14:filter val="128,567"/>
            <x14:filter val="150,840"/>
            <x14:filter val="16,320"/>
            <x14:filter val="17,204"/>
            <x14:filter val="18,000"/>
            <x14:filter val="2,500"/>
            <x14:filter val="2.131,560"/>
            <x14:filter val="2.178,000"/>
            <x14:filter val="2.220,331"/>
            <x14:filter val="20,000"/>
            <x14:filter val="20,480"/>
            <x14:filter val="202,400"/>
            <x14:filter val="22,000"/>
            <x14:filter val="24.423,641"/>
            <x14:filter val="242,000"/>
            <x14:filter val="261,000"/>
            <x14:filter val="27,200"/>
            <x14:filter val="-28,053"/>
            <x14:filter val="285,250"/>
            <x14:filter val="29,000"/>
            <x14:filter val="3.423,000"/>
            <x14:filter val="30,360"/>
            <x14:filter val="33.060,000"/>
            <x14:filter val="40,800"/>
            <x14:filter val="5,000"/>
            <x14:filter val="54,000"/>
            <x14:filter val="6,000"/>
            <x14:filter val="-7,013"/>
            <x14:filter val="710,520"/>
            <x14:filter val="72,507"/>
            <x14:filter val="77,280"/>
            <x14:filter val="91,080"/>
            <x14:filter val="99.180,000"/>
            <x14:filter val="Este valor de 1,71 já foi debatido em reunião, este é uma porcentagem acordada para o transporte do material para o bota espera, e não para a sua destinação., Você esta impondo novos processos de medição sem a altorização das partes., é só acompanhar as memorias anteriores da planilha e nada mais !"/>
            <x14:filter val="m³"/>
            <x14:filter val="Porque cortou ?, sempre colocamos as telas infelizmente aqui em Santa Rita é muito complicado."/>
          </mc:Choice>
          <mc:Fallback>
            <filter val="#DIV/0!"/>
            <filter val="#REF!"/>
            <filter val="0,000"/>
            <filter val="0,162"/>
            <filter val="0,972"/>
            <filter val="1,000"/>
            <filter val="1.216,192"/>
            <filter val="1.414,237"/>
            <filter val="1.659,240"/>
            <filter val="1.694,000"/>
            <filter val="10,000"/>
            <filter val="10.342,181"/>
            <filter val="102,000"/>
            <filter val="103,224"/>
            <filter val="12,000"/>
            <filter val="128,567"/>
            <filter val="150,840"/>
            <filter val="16,320"/>
            <filter val="17,204"/>
            <filter val="18,000"/>
            <filter val="2,500"/>
            <filter val="2.131,560"/>
            <filter val="2.178,000"/>
            <filter val="2.220,331"/>
            <filter val="20,000"/>
            <filter val="20,480"/>
            <filter val="202,400"/>
            <filter val="22,000"/>
            <filter val="24.423,641"/>
            <filter val="242,000"/>
            <filter val="261,000"/>
            <filter val="27,200"/>
            <filter val="-28,053"/>
            <filter val="285,250"/>
            <filter val="29,000"/>
            <filter val="3.423,000"/>
            <filter val="30,360"/>
            <filter val="33.060,000"/>
            <filter val="40,800"/>
            <filter val="5,000"/>
            <filter val="54,000"/>
            <filter val="6,000"/>
            <filter val="-7,013"/>
            <filter val="710,520"/>
            <filter val="72,507"/>
            <filter val="77,280"/>
            <filter val="91,080"/>
            <filter val="99.180,000"/>
            <filter val="m³"/>
            <filter val="Porque cortou ?, sempre colocamos as telas infelizmente aqui em Santa Rita é muito complicado."/>
          </mc:Fallback>
        </mc:AlternateContent>
      </filters>
    </filterColumn>
  </autoFilter>
  <mergeCells count="2907">
    <mergeCell ref="W965:W966"/>
    <mergeCell ref="D1919:F1919"/>
    <mergeCell ref="D1885:F1885"/>
    <mergeCell ref="G1885:I1885"/>
    <mergeCell ref="D1841:F1841"/>
    <mergeCell ref="G1841:I1841"/>
    <mergeCell ref="G300:I300"/>
    <mergeCell ref="D224:F224"/>
    <mergeCell ref="G224:I224"/>
    <mergeCell ref="D225:F225"/>
    <mergeCell ref="G225:I225"/>
    <mergeCell ref="D226:F226"/>
    <mergeCell ref="G226:I226"/>
    <mergeCell ref="G754:I754"/>
    <mergeCell ref="D753:F753"/>
    <mergeCell ref="G753:I753"/>
    <mergeCell ref="D747:F747"/>
    <mergeCell ref="D286:F286"/>
    <mergeCell ref="G286:I286"/>
    <mergeCell ref="D1441:I1441"/>
    <mergeCell ref="G1442:I1442"/>
    <mergeCell ref="D1442:F1442"/>
    <mergeCell ref="D1558:I1558"/>
    <mergeCell ref="D1497:I1497"/>
    <mergeCell ref="D1470:I1470"/>
    <mergeCell ref="D1282:I1282"/>
    <mergeCell ref="D299:F299"/>
    <mergeCell ref="G299:I299"/>
    <mergeCell ref="G287:I287"/>
    <mergeCell ref="D1914:I1914"/>
    <mergeCell ref="D1797:I1797"/>
    <mergeCell ref="D1807:I1807"/>
    <mergeCell ref="D1584:I1585"/>
    <mergeCell ref="M1185:Q1185"/>
    <mergeCell ref="M1186:Q1186"/>
    <mergeCell ref="D155:F155"/>
    <mergeCell ref="G155:I155"/>
    <mergeCell ref="D156:F156"/>
    <mergeCell ref="G156:I156"/>
    <mergeCell ref="D157:F157"/>
    <mergeCell ref="G157:I157"/>
    <mergeCell ref="J232:J233"/>
    <mergeCell ref="K232:K233"/>
    <mergeCell ref="L232:L233"/>
    <mergeCell ref="D228:I228"/>
    <mergeCell ref="J228:K228"/>
    <mergeCell ref="M228:Q228"/>
    <mergeCell ref="D229:I230"/>
    <mergeCell ref="J229:K230"/>
    <mergeCell ref="L229:L230"/>
    <mergeCell ref="M229:Q229"/>
    <mergeCell ref="M230:Q230"/>
    <mergeCell ref="D182:F182"/>
    <mergeCell ref="G182:I182"/>
    <mergeCell ref="D183:F183"/>
    <mergeCell ref="G183:I183"/>
    <mergeCell ref="D184:F184"/>
    <mergeCell ref="G184:I184"/>
    <mergeCell ref="G190:I190"/>
    <mergeCell ref="D191:F191"/>
    <mergeCell ref="D305:F305"/>
    <mergeCell ref="G305:I305"/>
    <mergeCell ref="D1184:I1184"/>
    <mergeCell ref="G191:I191"/>
    <mergeCell ref="D143:F143"/>
    <mergeCell ref="D144:F144"/>
    <mergeCell ref="G144:I144"/>
    <mergeCell ref="D145:F145"/>
    <mergeCell ref="G145:I145"/>
    <mergeCell ref="D146:F146"/>
    <mergeCell ref="G146:I146"/>
    <mergeCell ref="G213:I213"/>
    <mergeCell ref="J1184:K1184"/>
    <mergeCell ref="M1184:Q1184"/>
    <mergeCell ref="D204:F204"/>
    <mergeCell ref="G204:I204"/>
    <mergeCell ref="D185:F185"/>
    <mergeCell ref="G185:I185"/>
    <mergeCell ref="D186:F186"/>
    <mergeCell ref="G186:I186"/>
    <mergeCell ref="D203:F203"/>
    <mergeCell ref="G203:I203"/>
    <mergeCell ref="D205:F205"/>
    <mergeCell ref="D207:F207"/>
    <mergeCell ref="G207:I207"/>
    <mergeCell ref="D209:F209"/>
    <mergeCell ref="D212:F212"/>
    <mergeCell ref="D213:F213"/>
    <mergeCell ref="D300:F300"/>
    <mergeCell ref="M267:Q267"/>
    <mergeCell ref="D268:I269"/>
    <mergeCell ref="J268:K269"/>
    <mergeCell ref="L268:L269"/>
    <mergeCell ref="M268:Q268"/>
    <mergeCell ref="M269:Q269"/>
    <mergeCell ref="D238:F238"/>
    <mergeCell ref="G760:I760"/>
    <mergeCell ref="D761:F761"/>
    <mergeCell ref="G761:I761"/>
    <mergeCell ref="D202:F202"/>
    <mergeCell ref="G202:I202"/>
    <mergeCell ref="D208:F208"/>
    <mergeCell ref="G208:I208"/>
    <mergeCell ref="G209:I209"/>
    <mergeCell ref="D210:F210"/>
    <mergeCell ref="D1474:I1474"/>
    <mergeCell ref="D1438:I1439"/>
    <mergeCell ref="D1463:I1463"/>
    <mergeCell ref="D1464:I1465"/>
    <mergeCell ref="G238:I238"/>
    <mergeCell ref="D239:F239"/>
    <mergeCell ref="G239:I239"/>
    <mergeCell ref="G245:I245"/>
    <mergeCell ref="D246:F246"/>
    <mergeCell ref="G212:I212"/>
    <mergeCell ref="D260:F260"/>
    <mergeCell ref="G260:I260"/>
    <mergeCell ref="D221:F221"/>
    <mergeCell ref="G221:I221"/>
    <mergeCell ref="D266:F266"/>
    <mergeCell ref="G266:I266"/>
    <mergeCell ref="D247:F247"/>
    <mergeCell ref="G247:I247"/>
    <mergeCell ref="D232:I232"/>
    <mergeCell ref="D227:F227"/>
    <mergeCell ref="G227:I227"/>
    <mergeCell ref="G295:I295"/>
    <mergeCell ref="G296:I296"/>
    <mergeCell ref="J1914:K1914"/>
    <mergeCell ref="D1837:I1838"/>
    <mergeCell ref="J1837:K1838"/>
    <mergeCell ref="D244:F244"/>
    <mergeCell ref="G244:I244"/>
    <mergeCell ref="D245:F245"/>
    <mergeCell ref="G246:I246"/>
    <mergeCell ref="D277:F277"/>
    <mergeCell ref="G277:I277"/>
    <mergeCell ref="D278:F278"/>
    <mergeCell ref="G278:I278"/>
    <mergeCell ref="D279:F279"/>
    <mergeCell ref="D192:F192"/>
    <mergeCell ref="G192:I192"/>
    <mergeCell ref="D193:F193"/>
    <mergeCell ref="G193:I193"/>
    <mergeCell ref="G194:I194"/>
    <mergeCell ref="D195:F195"/>
    <mergeCell ref="G195:I195"/>
    <mergeCell ref="D196:F196"/>
    <mergeCell ref="G196:I196"/>
    <mergeCell ref="D197:F197"/>
    <mergeCell ref="G197:I197"/>
    <mergeCell ref="D198:F198"/>
    <mergeCell ref="G198:I198"/>
    <mergeCell ref="D199:F199"/>
    <mergeCell ref="G199:I199"/>
    <mergeCell ref="D200:F200"/>
    <mergeCell ref="G200:I200"/>
    <mergeCell ref="D201:F201"/>
    <mergeCell ref="G201:I201"/>
    <mergeCell ref="J1808:K1809"/>
    <mergeCell ref="M1914:Q1914"/>
    <mergeCell ref="D1915:I1916"/>
    <mergeCell ref="J1915:K1916"/>
    <mergeCell ref="M1915:Q1915"/>
    <mergeCell ref="M1916:Q1916"/>
    <mergeCell ref="D1923:I1923"/>
    <mergeCell ref="J1923:K1923"/>
    <mergeCell ref="M1923:Q1923"/>
    <mergeCell ref="D1924:I1925"/>
    <mergeCell ref="J1924:K1925"/>
    <mergeCell ref="M1924:Q1924"/>
    <mergeCell ref="M1925:Q1925"/>
    <mergeCell ref="D1801:I1801"/>
    <mergeCell ref="D1772:I1772"/>
    <mergeCell ref="D1811:I1811"/>
    <mergeCell ref="D1822:I1822"/>
    <mergeCell ref="D1831:I1831"/>
    <mergeCell ref="D1840:I1840"/>
    <mergeCell ref="D1852:I1852"/>
    <mergeCell ref="D1866:I1866"/>
    <mergeCell ref="D1875:I1875"/>
    <mergeCell ref="D1884:I1884"/>
    <mergeCell ref="D1896:I1896"/>
    <mergeCell ref="D1905:I1905"/>
    <mergeCell ref="D1918:I1918"/>
    <mergeCell ref="D1892:I1892"/>
    <mergeCell ref="J1892:K1892"/>
    <mergeCell ref="M1892:Q1892"/>
    <mergeCell ref="D1893:I1894"/>
    <mergeCell ref="J1893:K1894"/>
    <mergeCell ref="M1893:Q1893"/>
    <mergeCell ref="M1894:Q1894"/>
    <mergeCell ref="M1902:Q1902"/>
    <mergeCell ref="M1903:Q1903"/>
    <mergeCell ref="D1901:I1901"/>
    <mergeCell ref="J1901:K1901"/>
    <mergeCell ref="M1901:Q1901"/>
    <mergeCell ref="D1902:I1903"/>
    <mergeCell ref="J1902:K1903"/>
    <mergeCell ref="D1871:I1871"/>
    <mergeCell ref="J1871:K1871"/>
    <mergeCell ref="M1871:Q1871"/>
    <mergeCell ref="D1872:I1873"/>
    <mergeCell ref="J1872:K1873"/>
    <mergeCell ref="M1872:Q1872"/>
    <mergeCell ref="M1873:Q1873"/>
    <mergeCell ref="M1881:Q1881"/>
    <mergeCell ref="M1882:Q1882"/>
    <mergeCell ref="D1880:I1880"/>
    <mergeCell ref="J1880:K1880"/>
    <mergeCell ref="M1880:Q1880"/>
    <mergeCell ref="D1881:I1882"/>
    <mergeCell ref="J1881:K1882"/>
    <mergeCell ref="M1837:Q1837"/>
    <mergeCell ref="M1838:Q1838"/>
    <mergeCell ref="D1847:I1847"/>
    <mergeCell ref="J1847:K1847"/>
    <mergeCell ref="M1847:Q1847"/>
    <mergeCell ref="D1848:I1849"/>
    <mergeCell ref="J1848:K1849"/>
    <mergeCell ref="M1848:Q1848"/>
    <mergeCell ref="M1849:Q1849"/>
    <mergeCell ref="D1861:I1861"/>
    <mergeCell ref="J1861:K1861"/>
    <mergeCell ref="M1861:Q1861"/>
    <mergeCell ref="D1862:I1863"/>
    <mergeCell ref="J1862:K1863"/>
    <mergeCell ref="M1862:Q1862"/>
    <mergeCell ref="M1863:Q1863"/>
    <mergeCell ref="D1818:I1818"/>
    <mergeCell ref="J1818:K1818"/>
    <mergeCell ref="M1818:Q1818"/>
    <mergeCell ref="D1819:I1820"/>
    <mergeCell ref="J1819:K1820"/>
    <mergeCell ref="M1819:Q1819"/>
    <mergeCell ref="M1820:Q1820"/>
    <mergeCell ref="D1827:I1827"/>
    <mergeCell ref="J1827:K1827"/>
    <mergeCell ref="M1827:Q1827"/>
    <mergeCell ref="D1828:I1829"/>
    <mergeCell ref="J1828:K1829"/>
    <mergeCell ref="M1828:Q1828"/>
    <mergeCell ref="M1829:Q1829"/>
    <mergeCell ref="D1836:I1836"/>
    <mergeCell ref="J1836:K1836"/>
    <mergeCell ref="M1836:Q1836"/>
    <mergeCell ref="D160:F160"/>
    <mergeCell ref="G160:I160"/>
    <mergeCell ref="D211:F211"/>
    <mergeCell ref="G211:I211"/>
    <mergeCell ref="D255:F255"/>
    <mergeCell ref="G255:I255"/>
    <mergeCell ref="D294:F294"/>
    <mergeCell ref="G294:I294"/>
    <mergeCell ref="G210:I210"/>
    <mergeCell ref="D254:F254"/>
    <mergeCell ref="G254:I254"/>
    <mergeCell ref="D293:F293"/>
    <mergeCell ref="G293:I293"/>
    <mergeCell ref="D758:F758"/>
    <mergeCell ref="G758:I758"/>
    <mergeCell ref="C1344:C1346"/>
    <mergeCell ref="G205:I205"/>
    <mergeCell ref="G285:I285"/>
    <mergeCell ref="D235:F235"/>
    <mergeCell ref="G235:I235"/>
    <mergeCell ref="D236:F236"/>
    <mergeCell ref="G236:I236"/>
    <mergeCell ref="D237:F237"/>
    <mergeCell ref="G237:I237"/>
    <mergeCell ref="D240:F240"/>
    <mergeCell ref="G240:I240"/>
    <mergeCell ref="D242:F242"/>
    <mergeCell ref="G242:I242"/>
    <mergeCell ref="D243:F243"/>
    <mergeCell ref="G243:I243"/>
    <mergeCell ref="D1475:F1475"/>
    <mergeCell ref="D131:F131"/>
    <mergeCell ref="G131:I131"/>
    <mergeCell ref="D132:F132"/>
    <mergeCell ref="G132:I132"/>
    <mergeCell ref="C1692:C1694"/>
    <mergeCell ref="C1713:C1715"/>
    <mergeCell ref="D206:F206"/>
    <mergeCell ref="G206:I206"/>
    <mergeCell ref="D250:F250"/>
    <mergeCell ref="G250:I250"/>
    <mergeCell ref="D289:F289"/>
    <mergeCell ref="G289:I289"/>
    <mergeCell ref="D1634:I1634"/>
    <mergeCell ref="D1437:I1437"/>
    <mergeCell ref="G279:I279"/>
    <mergeCell ref="D274:F274"/>
    <mergeCell ref="G274:I274"/>
    <mergeCell ref="D275:F275"/>
    <mergeCell ref="G275:I275"/>
    <mergeCell ref="D276:F276"/>
    <mergeCell ref="G276:I276"/>
    <mergeCell ref="G310:L310"/>
    <mergeCell ref="G311:L311"/>
    <mergeCell ref="D326:I327"/>
    <mergeCell ref="J326:K327"/>
    <mergeCell ref="L326:L327"/>
    <mergeCell ref="D281:F281"/>
    <mergeCell ref="G281:I281"/>
    <mergeCell ref="D282:F282"/>
    <mergeCell ref="D164:F164"/>
    <mergeCell ref="G164:I164"/>
    <mergeCell ref="G1475:I1475"/>
    <mergeCell ref="M1808:Q1808"/>
    <mergeCell ref="M1809:Q1809"/>
    <mergeCell ref="J1437:K1437"/>
    <mergeCell ref="J1463:K1463"/>
    <mergeCell ref="J1438:K1439"/>
    <mergeCell ref="J1464:K1465"/>
    <mergeCell ref="J1470:K1470"/>
    <mergeCell ref="J1471:K1472"/>
    <mergeCell ref="J1497:K1497"/>
    <mergeCell ref="J1498:K1499"/>
    <mergeCell ref="J1527:K1527"/>
    <mergeCell ref="J1528:K1529"/>
    <mergeCell ref="J1554:K1554"/>
    <mergeCell ref="J1555:K1556"/>
    <mergeCell ref="J1583:K1583"/>
    <mergeCell ref="J1584:K1585"/>
    <mergeCell ref="J1602:K1602"/>
    <mergeCell ref="J1603:K1604"/>
    <mergeCell ref="J1614:K1614"/>
    <mergeCell ref="M1437:Q1437"/>
    <mergeCell ref="M1438:Q1438"/>
    <mergeCell ref="M1439:Q1439"/>
    <mergeCell ref="M1463:Q1463"/>
    <mergeCell ref="M1464:Q1464"/>
    <mergeCell ref="M1465:Q1465"/>
    <mergeCell ref="M1746:Q1746"/>
    <mergeCell ref="M1747:Q1747"/>
    <mergeCell ref="M1748:Q1748"/>
    <mergeCell ref="M1769:Q1769"/>
    <mergeCell ref="M1770:Q1770"/>
    <mergeCell ref="M1657:Q1657"/>
    <mergeCell ref="M1658:Q1658"/>
    <mergeCell ref="D150:F150"/>
    <mergeCell ref="G150:I150"/>
    <mergeCell ref="D151:F151"/>
    <mergeCell ref="G151:I151"/>
    <mergeCell ref="D187:F187"/>
    <mergeCell ref="G187:I187"/>
    <mergeCell ref="D188:F188"/>
    <mergeCell ref="G188:I188"/>
    <mergeCell ref="D194:F194"/>
    <mergeCell ref="D189:F189"/>
    <mergeCell ref="G189:I189"/>
    <mergeCell ref="G282:I282"/>
    <mergeCell ref="D283:F283"/>
    <mergeCell ref="G283:I283"/>
    <mergeCell ref="D284:F284"/>
    <mergeCell ref="G284:I284"/>
    <mergeCell ref="D285:F285"/>
    <mergeCell ref="G219:I219"/>
    <mergeCell ref="D261:F261"/>
    <mergeCell ref="G261:I261"/>
    <mergeCell ref="D262:F262"/>
    <mergeCell ref="G262:I262"/>
    <mergeCell ref="D263:F263"/>
    <mergeCell ref="G263:I263"/>
    <mergeCell ref="D264:F264"/>
    <mergeCell ref="G264:I264"/>
    <mergeCell ref="M173:Q173"/>
    <mergeCell ref="M174:Q174"/>
    <mergeCell ref="D153:F153"/>
    <mergeCell ref="G153:I153"/>
    <mergeCell ref="D154:F154"/>
    <mergeCell ref="G154:I154"/>
    <mergeCell ref="L1185:L1186"/>
    <mergeCell ref="M1584:Q1584"/>
    <mergeCell ref="M1585:Q1585"/>
    <mergeCell ref="D1602:I1602"/>
    <mergeCell ref="M1602:Q1602"/>
    <mergeCell ref="D1747:I1748"/>
    <mergeCell ref="D1768:I1768"/>
    <mergeCell ref="M1798:Q1798"/>
    <mergeCell ref="M1799:Q1799"/>
    <mergeCell ref="J1714:K1715"/>
    <mergeCell ref="J1722:K1722"/>
    <mergeCell ref="J1723:K1724"/>
    <mergeCell ref="J1692:K1692"/>
    <mergeCell ref="J1693:K1694"/>
    <mergeCell ref="M1634:Q1634"/>
    <mergeCell ref="D1635:I1636"/>
    <mergeCell ref="M1635:Q1635"/>
    <mergeCell ref="M1636:Q1636"/>
    <mergeCell ref="D1644:I1644"/>
    <mergeCell ref="M1644:Q1644"/>
    <mergeCell ref="D1645:I1646"/>
    <mergeCell ref="M1645:Q1645"/>
    <mergeCell ref="M1646:Q1646"/>
    <mergeCell ref="D1656:I1656"/>
    <mergeCell ref="M1656:Q1656"/>
    <mergeCell ref="D1657:I1658"/>
    <mergeCell ref="M1807:Q1807"/>
    <mergeCell ref="J1746:K1746"/>
    <mergeCell ref="J1747:K1748"/>
    <mergeCell ref="J1768:K1768"/>
    <mergeCell ref="J1769:K1770"/>
    <mergeCell ref="J1797:K1797"/>
    <mergeCell ref="J1798:K1799"/>
    <mergeCell ref="J1807:K1807"/>
    <mergeCell ref="D1750:I1750"/>
    <mergeCell ref="D1751:F1751"/>
    <mergeCell ref="G1751:I1751"/>
    <mergeCell ref="D1746:I1746"/>
    <mergeCell ref="D1673:I1674"/>
    <mergeCell ref="M1673:Q1673"/>
    <mergeCell ref="M1674:Q1674"/>
    <mergeCell ref="D1692:I1692"/>
    <mergeCell ref="M1692:Q1692"/>
    <mergeCell ref="D1693:I1694"/>
    <mergeCell ref="M1693:Q1693"/>
    <mergeCell ref="M1694:Q1694"/>
    <mergeCell ref="D1713:I1713"/>
    <mergeCell ref="M1713:Q1713"/>
    <mergeCell ref="D1714:I1715"/>
    <mergeCell ref="M1714:Q1714"/>
    <mergeCell ref="M1715:Q1715"/>
    <mergeCell ref="D1722:I1722"/>
    <mergeCell ref="M1722:Q1722"/>
    <mergeCell ref="D1723:I1724"/>
    <mergeCell ref="M1723:Q1723"/>
    <mergeCell ref="M1724:Q1724"/>
    <mergeCell ref="J1713:K1713"/>
    <mergeCell ref="M1797:Q1797"/>
    <mergeCell ref="D1603:I1604"/>
    <mergeCell ref="M1603:Q1603"/>
    <mergeCell ref="M1604:Q1604"/>
    <mergeCell ref="D1614:I1614"/>
    <mergeCell ref="M1614:Q1614"/>
    <mergeCell ref="D1615:I1616"/>
    <mergeCell ref="M1615:Q1615"/>
    <mergeCell ref="M1616:Q1616"/>
    <mergeCell ref="D1624:I1624"/>
    <mergeCell ref="M1624:Q1624"/>
    <mergeCell ref="D1625:I1626"/>
    <mergeCell ref="M1625:Q1625"/>
    <mergeCell ref="M1626:Q1626"/>
    <mergeCell ref="D1660:I1660"/>
    <mergeCell ref="G1661:I1661"/>
    <mergeCell ref="D1661:F1661"/>
    <mergeCell ref="D1672:I1672"/>
    <mergeCell ref="M1672:Q1672"/>
    <mergeCell ref="J1644:K1644"/>
    <mergeCell ref="J1634:K1634"/>
    <mergeCell ref="J1635:K1636"/>
    <mergeCell ref="M1768:Q1768"/>
    <mergeCell ref="M1587:M1588"/>
    <mergeCell ref="D1606:I1606"/>
    <mergeCell ref="G1607:I1607"/>
    <mergeCell ref="D1607:F1607"/>
    <mergeCell ref="J1615:K1616"/>
    <mergeCell ref="J1624:K1624"/>
    <mergeCell ref="J1625:K1626"/>
    <mergeCell ref="D1617:I1617"/>
    <mergeCell ref="D1618:F1618"/>
    <mergeCell ref="G1618:I1618"/>
    <mergeCell ref="D1587:I1587"/>
    <mergeCell ref="D1588:F1588"/>
    <mergeCell ref="G1588:I1588"/>
    <mergeCell ref="M1497:Q1497"/>
    <mergeCell ref="D1498:I1499"/>
    <mergeCell ref="M1498:Q1498"/>
    <mergeCell ref="M1499:Q1499"/>
    <mergeCell ref="D1527:I1527"/>
    <mergeCell ref="M1527:Q1527"/>
    <mergeCell ref="D1528:I1529"/>
    <mergeCell ref="M1528:Q1528"/>
    <mergeCell ref="M1529:Q1529"/>
    <mergeCell ref="D1554:I1554"/>
    <mergeCell ref="M1554:Q1554"/>
    <mergeCell ref="D1555:I1556"/>
    <mergeCell ref="M1555:Q1555"/>
    <mergeCell ref="M1556:Q1556"/>
    <mergeCell ref="D1583:I1583"/>
    <mergeCell ref="M1583:Q1583"/>
    <mergeCell ref="D1531:I1531"/>
    <mergeCell ref="D1532:F1532"/>
    <mergeCell ref="G1532:I1532"/>
    <mergeCell ref="D1559:F1559"/>
    <mergeCell ref="G1559:I1559"/>
    <mergeCell ref="D1501:I1501"/>
    <mergeCell ref="D1502:F1502"/>
    <mergeCell ref="G1502:I1502"/>
    <mergeCell ref="M1470:Q1470"/>
    <mergeCell ref="D1471:I1472"/>
    <mergeCell ref="M1471:Q1471"/>
    <mergeCell ref="M1472:Q1472"/>
    <mergeCell ref="R1414:R1415"/>
    <mergeCell ref="S1414:S1415"/>
    <mergeCell ref="T1414:T1415"/>
    <mergeCell ref="U1414:U1415"/>
    <mergeCell ref="D1415:F1415"/>
    <mergeCell ref="G1415:I1415"/>
    <mergeCell ref="D1419:I1419"/>
    <mergeCell ref="J1419:K1419"/>
    <mergeCell ref="M1419:Q1419"/>
    <mergeCell ref="D1420:I1421"/>
    <mergeCell ref="J1420:K1421"/>
    <mergeCell ref="L1420:L1421"/>
    <mergeCell ref="M1420:Q1420"/>
    <mergeCell ref="M1421:Q1421"/>
    <mergeCell ref="O1441:O1442"/>
    <mergeCell ref="D1466:I1466"/>
    <mergeCell ref="D1467:F1467"/>
    <mergeCell ref="G1467:I1467"/>
    <mergeCell ref="D1423:I1423"/>
    <mergeCell ref="D1424:F1424"/>
    <mergeCell ref="G1424:I1424"/>
    <mergeCell ref="B1414:B1415"/>
    <mergeCell ref="C1414:C1415"/>
    <mergeCell ref="D1414:I1414"/>
    <mergeCell ref="J1414:J1415"/>
    <mergeCell ref="K1414:K1415"/>
    <mergeCell ref="L1414:L1415"/>
    <mergeCell ref="M1414:M1415"/>
    <mergeCell ref="N1414:N1415"/>
    <mergeCell ref="O1414:O1415"/>
    <mergeCell ref="Q1414:Q1415"/>
    <mergeCell ref="B1:U4"/>
    <mergeCell ref="B5:D5"/>
    <mergeCell ref="E5:N5"/>
    <mergeCell ref="O5:U5"/>
    <mergeCell ref="C6:D6"/>
    <mergeCell ref="C7:D7"/>
    <mergeCell ref="D22:I23"/>
    <mergeCell ref="J22:K23"/>
    <mergeCell ref="L22:L23"/>
    <mergeCell ref="M22:Q22"/>
    <mergeCell ref="M23:Q23"/>
    <mergeCell ref="U15:U16"/>
    <mergeCell ref="D16:F16"/>
    <mergeCell ref="G16:I16"/>
    <mergeCell ref="D21:I21"/>
    <mergeCell ref="J21:K21"/>
    <mergeCell ref="M21:Q21"/>
    <mergeCell ref="N15:N16"/>
    <mergeCell ref="O15:O16"/>
    <mergeCell ref="Q15:Q16"/>
    <mergeCell ref="R15:R16"/>
    <mergeCell ref="S15:S16"/>
    <mergeCell ref="T15:T16"/>
    <mergeCell ref="C8:D8"/>
    <mergeCell ref="C9:D9"/>
    <mergeCell ref="B11:U11"/>
    <mergeCell ref="B15:B16"/>
    <mergeCell ref="C15:C16"/>
    <mergeCell ref="D15:I15"/>
    <mergeCell ref="J15:J16"/>
    <mergeCell ref="K15:K16"/>
    <mergeCell ref="L15:L16"/>
    <mergeCell ref="M15:M16"/>
    <mergeCell ref="D32:I33"/>
    <mergeCell ref="J32:K33"/>
    <mergeCell ref="L32:L33"/>
    <mergeCell ref="M32:Q32"/>
    <mergeCell ref="M33:Q33"/>
    <mergeCell ref="B35:B36"/>
    <mergeCell ref="C35:C36"/>
    <mergeCell ref="D35:I35"/>
    <mergeCell ref="J35:J36"/>
    <mergeCell ref="K35:K36"/>
    <mergeCell ref="S25:S26"/>
    <mergeCell ref="T25:T26"/>
    <mergeCell ref="U25:U26"/>
    <mergeCell ref="D26:F26"/>
    <mergeCell ref="G26:I26"/>
    <mergeCell ref="D31:I31"/>
    <mergeCell ref="J31:K31"/>
    <mergeCell ref="M31:Q31"/>
    <mergeCell ref="L25:L26"/>
    <mergeCell ref="M25:M26"/>
    <mergeCell ref="N25:N26"/>
    <mergeCell ref="D53:I54"/>
    <mergeCell ref="J53:K54"/>
    <mergeCell ref="L53:L54"/>
    <mergeCell ref="M53:Q53"/>
    <mergeCell ref="M54:Q54"/>
    <mergeCell ref="O25:O26"/>
    <mergeCell ref="Q25:Q26"/>
    <mergeCell ref="R25:R26"/>
    <mergeCell ref="B25:B26"/>
    <mergeCell ref="C25:C26"/>
    <mergeCell ref="D25:I25"/>
    <mergeCell ref="J25:J26"/>
    <mergeCell ref="K25:K26"/>
    <mergeCell ref="D43:I44"/>
    <mergeCell ref="J43:K44"/>
    <mergeCell ref="L43:L44"/>
    <mergeCell ref="M43:Q43"/>
    <mergeCell ref="M44:Q44"/>
    <mergeCell ref="B46:B47"/>
    <mergeCell ref="C46:C47"/>
    <mergeCell ref="D46:I46"/>
    <mergeCell ref="J46:J47"/>
    <mergeCell ref="K46:K47"/>
    <mergeCell ref="S46:S47"/>
    <mergeCell ref="T46:T47"/>
    <mergeCell ref="U46:U47"/>
    <mergeCell ref="D47:F47"/>
    <mergeCell ref="G47:I47"/>
    <mergeCell ref="D52:I52"/>
    <mergeCell ref="J52:K52"/>
    <mergeCell ref="M52:Q52"/>
    <mergeCell ref="L46:L47"/>
    <mergeCell ref="M46:M47"/>
    <mergeCell ref="N46:N47"/>
    <mergeCell ref="O46:O47"/>
    <mergeCell ref="Q46:Q47"/>
    <mergeCell ref="R46:R47"/>
    <mergeCell ref="S35:S36"/>
    <mergeCell ref="T35:T36"/>
    <mergeCell ref="U35:U36"/>
    <mergeCell ref="D36:F36"/>
    <mergeCell ref="G36:I36"/>
    <mergeCell ref="D42:I42"/>
    <mergeCell ref="J42:K42"/>
    <mergeCell ref="M42:Q42"/>
    <mergeCell ref="L35:L36"/>
    <mergeCell ref="M35:M36"/>
    <mergeCell ref="N35:N36"/>
    <mergeCell ref="O35:O36"/>
    <mergeCell ref="Q35:Q36"/>
    <mergeCell ref="R35:R36"/>
    <mergeCell ref="D63:I64"/>
    <mergeCell ref="J63:K64"/>
    <mergeCell ref="L63:L64"/>
    <mergeCell ref="M63:Q63"/>
    <mergeCell ref="M64:Q64"/>
    <mergeCell ref="B66:B67"/>
    <mergeCell ref="C66:C67"/>
    <mergeCell ref="D66:I66"/>
    <mergeCell ref="J66:J67"/>
    <mergeCell ref="K66:K67"/>
    <mergeCell ref="S56:S57"/>
    <mergeCell ref="T56:T57"/>
    <mergeCell ref="U56:U57"/>
    <mergeCell ref="D57:F57"/>
    <mergeCell ref="G57:I57"/>
    <mergeCell ref="D62:I62"/>
    <mergeCell ref="J62:K62"/>
    <mergeCell ref="M62:Q62"/>
    <mergeCell ref="L56:L57"/>
    <mergeCell ref="M56:M57"/>
    <mergeCell ref="N56:N57"/>
    <mergeCell ref="O56:O57"/>
    <mergeCell ref="Q56:Q57"/>
    <mergeCell ref="R56:R57"/>
    <mergeCell ref="B56:B57"/>
    <mergeCell ref="C56:C57"/>
    <mergeCell ref="D56:I56"/>
    <mergeCell ref="J56:J57"/>
    <mergeCell ref="K56:K57"/>
    <mergeCell ref="B76:B77"/>
    <mergeCell ref="C76:C77"/>
    <mergeCell ref="D76:I76"/>
    <mergeCell ref="J76:J77"/>
    <mergeCell ref="K76:K77"/>
    <mergeCell ref="S66:S67"/>
    <mergeCell ref="T66:T67"/>
    <mergeCell ref="U66:U67"/>
    <mergeCell ref="D67:F67"/>
    <mergeCell ref="G67:I67"/>
    <mergeCell ref="D72:I72"/>
    <mergeCell ref="J72:K72"/>
    <mergeCell ref="M72:Q72"/>
    <mergeCell ref="L66:L67"/>
    <mergeCell ref="M66:M67"/>
    <mergeCell ref="N66:N67"/>
    <mergeCell ref="O66:O67"/>
    <mergeCell ref="Q66:Q67"/>
    <mergeCell ref="R66:R67"/>
    <mergeCell ref="S76:S77"/>
    <mergeCell ref="T76:T77"/>
    <mergeCell ref="U76:U77"/>
    <mergeCell ref="D77:F77"/>
    <mergeCell ref="G77:I77"/>
    <mergeCell ref="D82:I82"/>
    <mergeCell ref="J82:K82"/>
    <mergeCell ref="M82:Q82"/>
    <mergeCell ref="L76:L77"/>
    <mergeCell ref="M76:M77"/>
    <mergeCell ref="N76:N77"/>
    <mergeCell ref="O76:O77"/>
    <mergeCell ref="Q76:Q77"/>
    <mergeCell ref="R76:R77"/>
    <mergeCell ref="D73:I74"/>
    <mergeCell ref="J73:K74"/>
    <mergeCell ref="L73:L74"/>
    <mergeCell ref="M73:Q73"/>
    <mergeCell ref="M74:Q74"/>
    <mergeCell ref="N98:N99"/>
    <mergeCell ref="O98:O99"/>
    <mergeCell ref="P98:P99"/>
    <mergeCell ref="Q98:Q99"/>
    <mergeCell ref="J87:J88"/>
    <mergeCell ref="K87:K88"/>
    <mergeCell ref="L87:L88"/>
    <mergeCell ref="D90:F90"/>
    <mergeCell ref="G90:I90"/>
    <mergeCell ref="D91:F91"/>
    <mergeCell ref="G91:I91"/>
    <mergeCell ref="D83:I84"/>
    <mergeCell ref="J83:K84"/>
    <mergeCell ref="L83:L84"/>
    <mergeCell ref="M83:Q83"/>
    <mergeCell ref="M84:Q84"/>
    <mergeCell ref="G86:L86"/>
    <mergeCell ref="O86:R86"/>
    <mergeCell ref="D125:F125"/>
    <mergeCell ref="G125:I125"/>
    <mergeCell ref="D108:F108"/>
    <mergeCell ref="G108:I108"/>
    <mergeCell ref="D109:F109"/>
    <mergeCell ref="L98:L99"/>
    <mergeCell ref="D95:I96"/>
    <mergeCell ref="J95:K96"/>
    <mergeCell ref="L95:L96"/>
    <mergeCell ref="M95:Q95"/>
    <mergeCell ref="M96:Q96"/>
    <mergeCell ref="D98:I98"/>
    <mergeCell ref="J98:J99"/>
    <mergeCell ref="K98:K99"/>
    <mergeCell ref="T87:T88"/>
    <mergeCell ref="U87:U88"/>
    <mergeCell ref="D88:F88"/>
    <mergeCell ref="G88:I88"/>
    <mergeCell ref="D94:I94"/>
    <mergeCell ref="J94:K94"/>
    <mergeCell ref="M94:Q94"/>
    <mergeCell ref="M87:M88"/>
    <mergeCell ref="N87:N88"/>
    <mergeCell ref="O87:O88"/>
    <mergeCell ref="Q87:Q88"/>
    <mergeCell ref="R87:R88"/>
    <mergeCell ref="S87:S88"/>
    <mergeCell ref="R98:R99"/>
    <mergeCell ref="S98:S99"/>
    <mergeCell ref="T98:T99"/>
    <mergeCell ref="U98:U99"/>
    <mergeCell ref="M98:M99"/>
    <mergeCell ref="D124:F124"/>
    <mergeCell ref="G124:I124"/>
    <mergeCell ref="B87:B88"/>
    <mergeCell ref="C87:C88"/>
    <mergeCell ref="D87:I87"/>
    <mergeCell ref="D127:F127"/>
    <mergeCell ref="G127:I127"/>
    <mergeCell ref="D99:F99"/>
    <mergeCell ref="G99:I99"/>
    <mergeCell ref="D133:I133"/>
    <mergeCell ref="D128:F128"/>
    <mergeCell ref="G128:I128"/>
    <mergeCell ref="D129:F129"/>
    <mergeCell ref="G129:I129"/>
    <mergeCell ref="D130:F130"/>
    <mergeCell ref="G130:I130"/>
    <mergeCell ref="D103:F103"/>
    <mergeCell ref="G103:I103"/>
    <mergeCell ref="D104:F104"/>
    <mergeCell ref="G104:I104"/>
    <mergeCell ref="D105:F105"/>
    <mergeCell ref="G105:I105"/>
    <mergeCell ref="D100:F100"/>
    <mergeCell ref="G100:I100"/>
    <mergeCell ref="D101:F101"/>
    <mergeCell ref="G101:I101"/>
    <mergeCell ref="D102:F102"/>
    <mergeCell ref="G102:I102"/>
    <mergeCell ref="D126:F126"/>
    <mergeCell ref="G126:I126"/>
    <mergeCell ref="D106:F106"/>
    <mergeCell ref="G106:I106"/>
    <mergeCell ref="G107:I107"/>
    <mergeCell ref="D114:F114"/>
    <mergeCell ref="G114:I114"/>
    <mergeCell ref="D115:F115"/>
    <mergeCell ref="G115:I115"/>
    <mergeCell ref="D116:F116"/>
    <mergeCell ref="G116:I116"/>
    <mergeCell ref="D118:F118"/>
    <mergeCell ref="G118:I118"/>
    <mergeCell ref="D119:F119"/>
    <mergeCell ref="G119:I119"/>
    <mergeCell ref="D120:F120"/>
    <mergeCell ref="G120:I120"/>
    <mergeCell ref="D121:F121"/>
    <mergeCell ref="G121:I121"/>
    <mergeCell ref="D122:F122"/>
    <mergeCell ref="D123:F123"/>
    <mergeCell ref="G122:I122"/>
    <mergeCell ref="G123:I123"/>
    <mergeCell ref="G109:I109"/>
    <mergeCell ref="D110:F110"/>
    <mergeCell ref="G110:I110"/>
    <mergeCell ref="D111:F111"/>
    <mergeCell ref="G111:I111"/>
    <mergeCell ref="D112:F112"/>
    <mergeCell ref="G112:I112"/>
    <mergeCell ref="D113:F113"/>
    <mergeCell ref="G113:I113"/>
    <mergeCell ref="D107:F107"/>
    <mergeCell ref="D117:F117"/>
    <mergeCell ref="G117:I117"/>
    <mergeCell ref="D141:F141"/>
    <mergeCell ref="G141:I141"/>
    <mergeCell ref="D142:F142"/>
    <mergeCell ref="S176:S177"/>
    <mergeCell ref="M133:Q133"/>
    <mergeCell ref="D134:I135"/>
    <mergeCell ref="J134:K135"/>
    <mergeCell ref="L134:L135"/>
    <mergeCell ref="M134:Q134"/>
    <mergeCell ref="M135:Q135"/>
    <mergeCell ref="J172:K172"/>
    <mergeCell ref="M172:Q172"/>
    <mergeCell ref="D173:I174"/>
    <mergeCell ref="J173:K174"/>
    <mergeCell ref="L173:L174"/>
    <mergeCell ref="D147:F147"/>
    <mergeCell ref="G147:I147"/>
    <mergeCell ref="D148:F148"/>
    <mergeCell ref="G148:I148"/>
    <mergeCell ref="D149:F149"/>
    <mergeCell ref="G149:I149"/>
    <mergeCell ref="J133:K133"/>
    <mergeCell ref="D137:I137"/>
    <mergeCell ref="J137:J138"/>
    <mergeCell ref="K137:K138"/>
    <mergeCell ref="L137:L138"/>
    <mergeCell ref="D165:F165"/>
    <mergeCell ref="G165:I165"/>
    <mergeCell ref="G163:I163"/>
    <mergeCell ref="D161:F161"/>
    <mergeCell ref="D162:F162"/>
    <mergeCell ref="G161:I161"/>
    <mergeCell ref="T137:T138"/>
    <mergeCell ref="U137:U138"/>
    <mergeCell ref="D138:F138"/>
    <mergeCell ref="G138:I138"/>
    <mergeCell ref="D139:F139"/>
    <mergeCell ref="G139:I139"/>
    <mergeCell ref="M137:M138"/>
    <mergeCell ref="N137:N138"/>
    <mergeCell ref="O137:O138"/>
    <mergeCell ref="P137:P138"/>
    <mergeCell ref="Q137:Q138"/>
    <mergeCell ref="R137:R138"/>
    <mergeCell ref="R176:R177"/>
    <mergeCell ref="D176:I176"/>
    <mergeCell ref="J176:J177"/>
    <mergeCell ref="K176:K177"/>
    <mergeCell ref="L176:L177"/>
    <mergeCell ref="G158:I158"/>
    <mergeCell ref="D159:F159"/>
    <mergeCell ref="G159:I159"/>
    <mergeCell ref="D172:I172"/>
    <mergeCell ref="G167:I167"/>
    <mergeCell ref="G168:I168"/>
    <mergeCell ref="D163:F163"/>
    <mergeCell ref="D171:F171"/>
    <mergeCell ref="G171:I171"/>
    <mergeCell ref="D166:F166"/>
    <mergeCell ref="S137:S138"/>
    <mergeCell ref="G143:I143"/>
    <mergeCell ref="G142:I142"/>
    <mergeCell ref="D140:F140"/>
    <mergeCell ref="G140:I140"/>
    <mergeCell ref="T232:T233"/>
    <mergeCell ref="U232:U233"/>
    <mergeCell ref="D233:F233"/>
    <mergeCell ref="G233:I233"/>
    <mergeCell ref="D234:F234"/>
    <mergeCell ref="G234:I234"/>
    <mergeCell ref="M232:M233"/>
    <mergeCell ref="N232:N233"/>
    <mergeCell ref="O232:O233"/>
    <mergeCell ref="Q232:Q233"/>
    <mergeCell ref="R232:R233"/>
    <mergeCell ref="S232:S233"/>
    <mergeCell ref="D215:F215"/>
    <mergeCell ref="G215:I215"/>
    <mergeCell ref="D241:F241"/>
    <mergeCell ref="G241:I241"/>
    <mergeCell ref="T176:T177"/>
    <mergeCell ref="U176:U177"/>
    <mergeCell ref="D177:F177"/>
    <mergeCell ref="G177:I177"/>
    <mergeCell ref="D178:F178"/>
    <mergeCell ref="G178:I178"/>
    <mergeCell ref="M176:M177"/>
    <mergeCell ref="N176:N177"/>
    <mergeCell ref="O176:O177"/>
    <mergeCell ref="P176:P177"/>
    <mergeCell ref="Q176:Q177"/>
    <mergeCell ref="D217:F217"/>
    <mergeCell ref="G217:I217"/>
    <mergeCell ref="D218:F218"/>
    <mergeCell ref="G218:I218"/>
    <mergeCell ref="D219:F219"/>
    <mergeCell ref="T271:T272"/>
    <mergeCell ref="U271:U272"/>
    <mergeCell ref="D272:F272"/>
    <mergeCell ref="G272:I272"/>
    <mergeCell ref="D273:F273"/>
    <mergeCell ref="G273:I273"/>
    <mergeCell ref="M271:M272"/>
    <mergeCell ref="N271:N272"/>
    <mergeCell ref="O271:O272"/>
    <mergeCell ref="Q271:Q272"/>
    <mergeCell ref="R271:R272"/>
    <mergeCell ref="S271:S272"/>
    <mergeCell ref="D248:F248"/>
    <mergeCell ref="G248:I248"/>
    <mergeCell ref="D251:F251"/>
    <mergeCell ref="G251:I251"/>
    <mergeCell ref="D252:F252"/>
    <mergeCell ref="G252:I252"/>
    <mergeCell ref="D253:F253"/>
    <mergeCell ref="G253:I253"/>
    <mergeCell ref="G256:I256"/>
    <mergeCell ref="D257:F257"/>
    <mergeCell ref="G257:I257"/>
    <mergeCell ref="D256:F256"/>
    <mergeCell ref="D271:I271"/>
    <mergeCell ref="J271:J272"/>
    <mergeCell ref="K271:K272"/>
    <mergeCell ref="L271:L272"/>
    <mergeCell ref="D249:F249"/>
    <mergeCell ref="G249:I249"/>
    <mergeCell ref="D258:F258"/>
    <mergeCell ref="G258:I258"/>
    <mergeCell ref="J267:K267"/>
    <mergeCell ref="O311:R311"/>
    <mergeCell ref="B312:B313"/>
    <mergeCell ref="C312:C313"/>
    <mergeCell ref="D312:I312"/>
    <mergeCell ref="J312:J313"/>
    <mergeCell ref="K312:K313"/>
    <mergeCell ref="L312:L313"/>
    <mergeCell ref="M312:M313"/>
    <mergeCell ref="D288:F288"/>
    <mergeCell ref="G288:I288"/>
    <mergeCell ref="D306:I306"/>
    <mergeCell ref="J306:K306"/>
    <mergeCell ref="M306:Q306"/>
    <mergeCell ref="D307:I308"/>
    <mergeCell ref="J307:K308"/>
    <mergeCell ref="L307:L308"/>
    <mergeCell ref="M307:Q307"/>
    <mergeCell ref="M308:Q308"/>
    <mergeCell ref="D290:F290"/>
    <mergeCell ref="G290:I290"/>
    <mergeCell ref="D291:F291"/>
    <mergeCell ref="G291:I291"/>
    <mergeCell ref="D292:F292"/>
    <mergeCell ref="G292:I292"/>
    <mergeCell ref="D303:F303"/>
    <mergeCell ref="G303:I303"/>
    <mergeCell ref="D304:F304"/>
    <mergeCell ref="G304:I304"/>
    <mergeCell ref="D295:F295"/>
    <mergeCell ref="D296:F296"/>
    <mergeCell ref="D298:F298"/>
    <mergeCell ref="B329:B330"/>
    <mergeCell ref="C329:C330"/>
    <mergeCell ref="D329:I329"/>
    <mergeCell ref="J329:J330"/>
    <mergeCell ref="K329:K330"/>
    <mergeCell ref="U312:U313"/>
    <mergeCell ref="D313:F313"/>
    <mergeCell ref="G313:I313"/>
    <mergeCell ref="D325:I325"/>
    <mergeCell ref="J325:K325"/>
    <mergeCell ref="M325:Q325"/>
    <mergeCell ref="N312:N313"/>
    <mergeCell ref="O312:O313"/>
    <mergeCell ref="Q312:Q313"/>
    <mergeCell ref="R312:R313"/>
    <mergeCell ref="S312:S313"/>
    <mergeCell ref="T312:T313"/>
    <mergeCell ref="D302:F302"/>
    <mergeCell ref="G302:I302"/>
    <mergeCell ref="D297:F297"/>
    <mergeCell ref="G298:I298"/>
    <mergeCell ref="J336:K337"/>
    <mergeCell ref="L336:L337"/>
    <mergeCell ref="M336:Q336"/>
    <mergeCell ref="M337:Q337"/>
    <mergeCell ref="B339:B340"/>
    <mergeCell ref="C339:C340"/>
    <mergeCell ref="D339:I339"/>
    <mergeCell ref="J339:J340"/>
    <mergeCell ref="K339:K340"/>
    <mergeCell ref="S329:S330"/>
    <mergeCell ref="T329:T330"/>
    <mergeCell ref="U329:U330"/>
    <mergeCell ref="D330:F330"/>
    <mergeCell ref="G330:I330"/>
    <mergeCell ref="D335:I335"/>
    <mergeCell ref="J335:K335"/>
    <mergeCell ref="M335:Q335"/>
    <mergeCell ref="L329:L330"/>
    <mergeCell ref="M329:M330"/>
    <mergeCell ref="N329:N330"/>
    <mergeCell ref="O329:O330"/>
    <mergeCell ref="Q329:Q330"/>
    <mergeCell ref="R329:R330"/>
    <mergeCell ref="D336:I337"/>
    <mergeCell ref="D301:F301"/>
    <mergeCell ref="G301:I301"/>
    <mergeCell ref="M326:Q326"/>
    <mergeCell ref="M327:Q327"/>
    <mergeCell ref="J358:K359"/>
    <mergeCell ref="L358:L359"/>
    <mergeCell ref="M358:Q358"/>
    <mergeCell ref="M359:Q359"/>
    <mergeCell ref="B361:B362"/>
    <mergeCell ref="C361:C362"/>
    <mergeCell ref="D361:I361"/>
    <mergeCell ref="J361:J362"/>
    <mergeCell ref="K361:K362"/>
    <mergeCell ref="S339:S340"/>
    <mergeCell ref="T339:T340"/>
    <mergeCell ref="U339:U340"/>
    <mergeCell ref="D340:F340"/>
    <mergeCell ref="G340:I340"/>
    <mergeCell ref="D357:I357"/>
    <mergeCell ref="J357:K357"/>
    <mergeCell ref="M357:Q357"/>
    <mergeCell ref="L339:L340"/>
    <mergeCell ref="M339:M340"/>
    <mergeCell ref="N339:N340"/>
    <mergeCell ref="O339:O340"/>
    <mergeCell ref="Q339:Q340"/>
    <mergeCell ref="R339:R340"/>
    <mergeCell ref="D358:I359"/>
    <mergeCell ref="J371:K372"/>
    <mergeCell ref="L371:L372"/>
    <mergeCell ref="M371:Q371"/>
    <mergeCell ref="M372:Q372"/>
    <mergeCell ref="B374:B375"/>
    <mergeCell ref="C374:C375"/>
    <mergeCell ref="D374:I374"/>
    <mergeCell ref="J374:J375"/>
    <mergeCell ref="K374:K375"/>
    <mergeCell ref="S361:S362"/>
    <mergeCell ref="T361:T362"/>
    <mergeCell ref="U361:U362"/>
    <mergeCell ref="D362:F362"/>
    <mergeCell ref="G362:I362"/>
    <mergeCell ref="D370:I370"/>
    <mergeCell ref="J370:K370"/>
    <mergeCell ref="M370:Q370"/>
    <mergeCell ref="L361:L362"/>
    <mergeCell ref="M361:M362"/>
    <mergeCell ref="N361:N362"/>
    <mergeCell ref="O361:O362"/>
    <mergeCell ref="Q361:Q362"/>
    <mergeCell ref="R361:R362"/>
    <mergeCell ref="D371:I372"/>
    <mergeCell ref="J386:K387"/>
    <mergeCell ref="L386:L387"/>
    <mergeCell ref="M386:Q386"/>
    <mergeCell ref="M387:Q387"/>
    <mergeCell ref="B389:B390"/>
    <mergeCell ref="C389:C390"/>
    <mergeCell ref="D389:I389"/>
    <mergeCell ref="J389:J390"/>
    <mergeCell ref="K389:K390"/>
    <mergeCell ref="S374:S375"/>
    <mergeCell ref="T374:T375"/>
    <mergeCell ref="U374:U375"/>
    <mergeCell ref="D375:F375"/>
    <mergeCell ref="G375:I375"/>
    <mergeCell ref="D385:I385"/>
    <mergeCell ref="J385:K385"/>
    <mergeCell ref="M385:Q385"/>
    <mergeCell ref="L374:L375"/>
    <mergeCell ref="M374:M375"/>
    <mergeCell ref="N374:N375"/>
    <mergeCell ref="O374:O375"/>
    <mergeCell ref="Q374:Q375"/>
    <mergeCell ref="R374:R375"/>
    <mergeCell ref="D386:I387"/>
    <mergeCell ref="J397:K398"/>
    <mergeCell ref="L397:L398"/>
    <mergeCell ref="M397:Q397"/>
    <mergeCell ref="M398:Q398"/>
    <mergeCell ref="B400:B401"/>
    <mergeCell ref="C400:C401"/>
    <mergeCell ref="D400:I400"/>
    <mergeCell ref="J400:J401"/>
    <mergeCell ref="K400:K401"/>
    <mergeCell ref="S389:S390"/>
    <mergeCell ref="T389:T390"/>
    <mergeCell ref="U389:U390"/>
    <mergeCell ref="D390:F390"/>
    <mergeCell ref="G390:I390"/>
    <mergeCell ref="D396:I396"/>
    <mergeCell ref="J396:K396"/>
    <mergeCell ref="M396:Q396"/>
    <mergeCell ref="L389:L390"/>
    <mergeCell ref="M389:M390"/>
    <mergeCell ref="N389:N390"/>
    <mergeCell ref="O389:O390"/>
    <mergeCell ref="Q389:Q390"/>
    <mergeCell ref="R389:R390"/>
    <mergeCell ref="D397:I398"/>
    <mergeCell ref="J413:K414"/>
    <mergeCell ref="L413:L414"/>
    <mergeCell ref="M413:Q413"/>
    <mergeCell ref="M414:Q414"/>
    <mergeCell ref="B416:B417"/>
    <mergeCell ref="C416:C417"/>
    <mergeCell ref="D416:I416"/>
    <mergeCell ref="J416:J417"/>
    <mergeCell ref="K416:K417"/>
    <mergeCell ref="S400:S401"/>
    <mergeCell ref="T400:T401"/>
    <mergeCell ref="U400:U401"/>
    <mergeCell ref="D401:F401"/>
    <mergeCell ref="G401:I401"/>
    <mergeCell ref="D412:I412"/>
    <mergeCell ref="J412:K412"/>
    <mergeCell ref="M412:Q412"/>
    <mergeCell ref="L400:L401"/>
    <mergeCell ref="M400:M401"/>
    <mergeCell ref="N400:N401"/>
    <mergeCell ref="O400:O401"/>
    <mergeCell ref="Q400:Q401"/>
    <mergeCell ref="R400:R401"/>
    <mergeCell ref="D413:I414"/>
    <mergeCell ref="B426:B427"/>
    <mergeCell ref="C426:C427"/>
    <mergeCell ref="D426:I426"/>
    <mergeCell ref="J426:J427"/>
    <mergeCell ref="K426:K427"/>
    <mergeCell ref="L426:L427"/>
    <mergeCell ref="D422:I423"/>
    <mergeCell ref="J422:K423"/>
    <mergeCell ref="L422:L423"/>
    <mergeCell ref="M422:Q422"/>
    <mergeCell ref="M423:Q423"/>
    <mergeCell ref="G425:L425"/>
    <mergeCell ref="O425:R425"/>
    <mergeCell ref="S416:S417"/>
    <mergeCell ref="T416:T417"/>
    <mergeCell ref="U416:U417"/>
    <mergeCell ref="D417:F417"/>
    <mergeCell ref="G417:I417"/>
    <mergeCell ref="D421:I421"/>
    <mergeCell ref="J421:K421"/>
    <mergeCell ref="M421:Q421"/>
    <mergeCell ref="L416:L417"/>
    <mergeCell ref="M416:M417"/>
    <mergeCell ref="N416:N417"/>
    <mergeCell ref="O416:O417"/>
    <mergeCell ref="Q416:Q417"/>
    <mergeCell ref="R416:R417"/>
    <mergeCell ref="J434:K435"/>
    <mergeCell ref="L434:L435"/>
    <mergeCell ref="M434:Q434"/>
    <mergeCell ref="M435:Q435"/>
    <mergeCell ref="G437:L437"/>
    <mergeCell ref="O437:R437"/>
    <mergeCell ref="S426:S427"/>
    <mergeCell ref="T426:T427"/>
    <mergeCell ref="U426:U427"/>
    <mergeCell ref="D427:F427"/>
    <mergeCell ref="G427:I427"/>
    <mergeCell ref="D433:I433"/>
    <mergeCell ref="J433:K433"/>
    <mergeCell ref="M433:Q433"/>
    <mergeCell ref="M426:M427"/>
    <mergeCell ref="N426:N427"/>
    <mergeCell ref="O426:O427"/>
    <mergeCell ref="P426:P427"/>
    <mergeCell ref="Q426:Q427"/>
    <mergeCell ref="R426:R427"/>
    <mergeCell ref="D434:I435"/>
    <mergeCell ref="J448:K449"/>
    <mergeCell ref="L448:L449"/>
    <mergeCell ref="M448:Q448"/>
    <mergeCell ref="M449:Q449"/>
    <mergeCell ref="B451:B452"/>
    <mergeCell ref="C451:C452"/>
    <mergeCell ref="D451:I451"/>
    <mergeCell ref="J451:J452"/>
    <mergeCell ref="K451:K452"/>
    <mergeCell ref="T438:T439"/>
    <mergeCell ref="U438:U439"/>
    <mergeCell ref="D439:F439"/>
    <mergeCell ref="G439:I439"/>
    <mergeCell ref="D447:I447"/>
    <mergeCell ref="J447:K447"/>
    <mergeCell ref="M447:Q447"/>
    <mergeCell ref="M438:M439"/>
    <mergeCell ref="N438:N439"/>
    <mergeCell ref="O438:O439"/>
    <mergeCell ref="Q438:Q439"/>
    <mergeCell ref="R438:R439"/>
    <mergeCell ref="S438:S439"/>
    <mergeCell ref="B438:B439"/>
    <mergeCell ref="C438:C439"/>
    <mergeCell ref="D438:I438"/>
    <mergeCell ref="J438:J439"/>
    <mergeCell ref="K438:K439"/>
    <mergeCell ref="L438:L439"/>
    <mergeCell ref="D448:I449"/>
    <mergeCell ref="J458:K459"/>
    <mergeCell ref="L458:L459"/>
    <mergeCell ref="M458:Q458"/>
    <mergeCell ref="M459:Q459"/>
    <mergeCell ref="B461:B462"/>
    <mergeCell ref="C461:C462"/>
    <mergeCell ref="D461:I461"/>
    <mergeCell ref="J461:J462"/>
    <mergeCell ref="K461:K462"/>
    <mergeCell ref="S451:S452"/>
    <mergeCell ref="T451:T452"/>
    <mergeCell ref="U451:U452"/>
    <mergeCell ref="D452:F452"/>
    <mergeCell ref="G452:I452"/>
    <mergeCell ref="D457:I457"/>
    <mergeCell ref="J457:K457"/>
    <mergeCell ref="M457:Q457"/>
    <mergeCell ref="L451:L452"/>
    <mergeCell ref="M451:M452"/>
    <mergeCell ref="N451:N452"/>
    <mergeCell ref="O451:O452"/>
    <mergeCell ref="Q451:Q452"/>
    <mergeCell ref="R451:R452"/>
    <mergeCell ref="D458:I459"/>
    <mergeCell ref="J468:K469"/>
    <mergeCell ref="L468:L469"/>
    <mergeCell ref="M468:Q468"/>
    <mergeCell ref="M469:Q469"/>
    <mergeCell ref="B471:B472"/>
    <mergeCell ref="C471:C472"/>
    <mergeCell ref="D471:I471"/>
    <mergeCell ref="J471:J472"/>
    <mergeCell ref="K471:K472"/>
    <mergeCell ref="S461:S462"/>
    <mergeCell ref="T461:T462"/>
    <mergeCell ref="U461:U462"/>
    <mergeCell ref="D462:F462"/>
    <mergeCell ref="G462:I462"/>
    <mergeCell ref="D467:I467"/>
    <mergeCell ref="J467:K467"/>
    <mergeCell ref="M467:Q467"/>
    <mergeCell ref="L461:L462"/>
    <mergeCell ref="M461:M462"/>
    <mergeCell ref="N461:N462"/>
    <mergeCell ref="O461:O462"/>
    <mergeCell ref="Q461:Q462"/>
    <mergeCell ref="R461:R462"/>
    <mergeCell ref="D468:I469"/>
    <mergeCell ref="J478:K479"/>
    <mergeCell ref="L478:L479"/>
    <mergeCell ref="M478:Q478"/>
    <mergeCell ref="M479:Q479"/>
    <mergeCell ref="G481:L481"/>
    <mergeCell ref="S471:S472"/>
    <mergeCell ref="T471:T472"/>
    <mergeCell ref="U471:U472"/>
    <mergeCell ref="D472:F472"/>
    <mergeCell ref="G472:I472"/>
    <mergeCell ref="D477:I477"/>
    <mergeCell ref="J477:K477"/>
    <mergeCell ref="M477:Q477"/>
    <mergeCell ref="L471:L472"/>
    <mergeCell ref="M471:M472"/>
    <mergeCell ref="N471:N472"/>
    <mergeCell ref="O471:O472"/>
    <mergeCell ref="Q471:Q472"/>
    <mergeCell ref="R471:R472"/>
    <mergeCell ref="D478:I479"/>
    <mergeCell ref="J494:K495"/>
    <mergeCell ref="L494:L495"/>
    <mergeCell ref="M494:Q494"/>
    <mergeCell ref="M495:Q495"/>
    <mergeCell ref="B497:B498"/>
    <mergeCell ref="C497:C498"/>
    <mergeCell ref="D497:I497"/>
    <mergeCell ref="J497:J498"/>
    <mergeCell ref="K497:K498"/>
    <mergeCell ref="T482:T483"/>
    <mergeCell ref="U482:U483"/>
    <mergeCell ref="D483:F483"/>
    <mergeCell ref="G483:I483"/>
    <mergeCell ref="D493:I493"/>
    <mergeCell ref="J493:K493"/>
    <mergeCell ref="M493:Q493"/>
    <mergeCell ref="M482:M483"/>
    <mergeCell ref="N482:N483"/>
    <mergeCell ref="O482:O483"/>
    <mergeCell ref="Q482:Q483"/>
    <mergeCell ref="R482:R483"/>
    <mergeCell ref="S482:S483"/>
    <mergeCell ref="B482:B483"/>
    <mergeCell ref="C482:C483"/>
    <mergeCell ref="D482:I482"/>
    <mergeCell ref="J482:J483"/>
    <mergeCell ref="K482:K483"/>
    <mergeCell ref="L482:L483"/>
    <mergeCell ref="D494:I495"/>
    <mergeCell ref="J523:K524"/>
    <mergeCell ref="L523:L524"/>
    <mergeCell ref="M523:Q523"/>
    <mergeCell ref="M524:Q524"/>
    <mergeCell ref="G526:L526"/>
    <mergeCell ref="S497:S498"/>
    <mergeCell ref="T497:T498"/>
    <mergeCell ref="U497:U498"/>
    <mergeCell ref="D498:F498"/>
    <mergeCell ref="G498:I498"/>
    <mergeCell ref="D522:I522"/>
    <mergeCell ref="J522:K522"/>
    <mergeCell ref="M522:Q522"/>
    <mergeCell ref="L497:L498"/>
    <mergeCell ref="M497:M498"/>
    <mergeCell ref="N497:N498"/>
    <mergeCell ref="O497:O498"/>
    <mergeCell ref="Q497:Q498"/>
    <mergeCell ref="R497:R498"/>
    <mergeCell ref="D523:I524"/>
    <mergeCell ref="P497:P498"/>
    <mergeCell ref="J536:K537"/>
    <mergeCell ref="L536:L537"/>
    <mergeCell ref="M536:Q536"/>
    <mergeCell ref="M537:Q537"/>
    <mergeCell ref="B539:B540"/>
    <mergeCell ref="C539:C540"/>
    <mergeCell ref="D539:I539"/>
    <mergeCell ref="J539:J540"/>
    <mergeCell ref="K539:K540"/>
    <mergeCell ref="T527:T528"/>
    <mergeCell ref="U527:U528"/>
    <mergeCell ref="D528:F528"/>
    <mergeCell ref="G528:I528"/>
    <mergeCell ref="D535:I535"/>
    <mergeCell ref="J535:K535"/>
    <mergeCell ref="M535:Q535"/>
    <mergeCell ref="M527:M528"/>
    <mergeCell ref="N527:N528"/>
    <mergeCell ref="O527:O528"/>
    <mergeCell ref="Q527:Q528"/>
    <mergeCell ref="R527:R528"/>
    <mergeCell ref="S527:S528"/>
    <mergeCell ref="B527:B528"/>
    <mergeCell ref="C527:C528"/>
    <mergeCell ref="D527:I527"/>
    <mergeCell ref="J527:J528"/>
    <mergeCell ref="K527:K528"/>
    <mergeCell ref="L527:L528"/>
    <mergeCell ref="D536:I537"/>
    <mergeCell ref="J546:K547"/>
    <mergeCell ref="L546:L547"/>
    <mergeCell ref="M546:Q546"/>
    <mergeCell ref="M547:Q547"/>
    <mergeCell ref="B549:B550"/>
    <mergeCell ref="C549:C550"/>
    <mergeCell ref="D549:I549"/>
    <mergeCell ref="J549:J550"/>
    <mergeCell ref="K549:K550"/>
    <mergeCell ref="S539:S540"/>
    <mergeCell ref="T539:T540"/>
    <mergeCell ref="U539:U540"/>
    <mergeCell ref="D540:F540"/>
    <mergeCell ref="G540:I540"/>
    <mergeCell ref="D545:I545"/>
    <mergeCell ref="J545:K545"/>
    <mergeCell ref="M545:Q545"/>
    <mergeCell ref="L539:L540"/>
    <mergeCell ref="M539:M540"/>
    <mergeCell ref="N539:N540"/>
    <mergeCell ref="O539:O540"/>
    <mergeCell ref="Q539:Q540"/>
    <mergeCell ref="R539:R540"/>
    <mergeCell ref="D546:I547"/>
    <mergeCell ref="J556:K557"/>
    <mergeCell ref="L556:L557"/>
    <mergeCell ref="M556:Q556"/>
    <mergeCell ref="M557:Q557"/>
    <mergeCell ref="B559:B560"/>
    <mergeCell ref="C559:C560"/>
    <mergeCell ref="D559:I559"/>
    <mergeCell ref="J559:J560"/>
    <mergeCell ref="K559:K560"/>
    <mergeCell ref="S549:S550"/>
    <mergeCell ref="T549:T550"/>
    <mergeCell ref="U549:U550"/>
    <mergeCell ref="D550:F550"/>
    <mergeCell ref="G550:I550"/>
    <mergeCell ref="D555:I555"/>
    <mergeCell ref="J555:K555"/>
    <mergeCell ref="M555:Q555"/>
    <mergeCell ref="L549:L550"/>
    <mergeCell ref="M549:M550"/>
    <mergeCell ref="N549:N550"/>
    <mergeCell ref="O549:O550"/>
    <mergeCell ref="Q549:Q550"/>
    <mergeCell ref="R549:R550"/>
    <mergeCell ref="D556:I557"/>
    <mergeCell ref="J566:K567"/>
    <mergeCell ref="L566:L567"/>
    <mergeCell ref="M566:Q566"/>
    <mergeCell ref="M567:Q567"/>
    <mergeCell ref="B569:B570"/>
    <mergeCell ref="C569:C570"/>
    <mergeCell ref="D569:I569"/>
    <mergeCell ref="J569:J570"/>
    <mergeCell ref="K569:K570"/>
    <mergeCell ref="S559:S560"/>
    <mergeCell ref="T559:T560"/>
    <mergeCell ref="U559:U560"/>
    <mergeCell ref="D560:F560"/>
    <mergeCell ref="G560:I560"/>
    <mergeCell ref="D565:I565"/>
    <mergeCell ref="J565:K565"/>
    <mergeCell ref="M565:Q565"/>
    <mergeCell ref="L559:L560"/>
    <mergeCell ref="M559:M560"/>
    <mergeCell ref="N559:N560"/>
    <mergeCell ref="O559:O560"/>
    <mergeCell ref="Q559:Q560"/>
    <mergeCell ref="R559:R560"/>
    <mergeCell ref="D566:I567"/>
    <mergeCell ref="J576:K577"/>
    <mergeCell ref="L576:L577"/>
    <mergeCell ref="M576:Q576"/>
    <mergeCell ref="M577:Q577"/>
    <mergeCell ref="B579:B580"/>
    <mergeCell ref="C579:C580"/>
    <mergeCell ref="D579:I579"/>
    <mergeCell ref="J579:J580"/>
    <mergeCell ref="K579:K580"/>
    <mergeCell ref="S569:S570"/>
    <mergeCell ref="T569:T570"/>
    <mergeCell ref="U569:U570"/>
    <mergeCell ref="D570:F570"/>
    <mergeCell ref="G570:I570"/>
    <mergeCell ref="D575:I575"/>
    <mergeCell ref="J575:K575"/>
    <mergeCell ref="M575:Q575"/>
    <mergeCell ref="L569:L570"/>
    <mergeCell ref="M569:M570"/>
    <mergeCell ref="N569:N570"/>
    <mergeCell ref="O569:O570"/>
    <mergeCell ref="Q569:Q570"/>
    <mergeCell ref="R569:R570"/>
    <mergeCell ref="D576:I577"/>
    <mergeCell ref="J586:K587"/>
    <mergeCell ref="L586:L587"/>
    <mergeCell ref="M586:Q586"/>
    <mergeCell ref="M587:Q587"/>
    <mergeCell ref="G589:L589"/>
    <mergeCell ref="S579:S580"/>
    <mergeCell ref="T579:T580"/>
    <mergeCell ref="U579:U580"/>
    <mergeCell ref="D580:F580"/>
    <mergeCell ref="G580:I580"/>
    <mergeCell ref="D585:I585"/>
    <mergeCell ref="J585:K585"/>
    <mergeCell ref="M585:Q585"/>
    <mergeCell ref="L579:L580"/>
    <mergeCell ref="M579:M580"/>
    <mergeCell ref="N579:N580"/>
    <mergeCell ref="O579:O580"/>
    <mergeCell ref="Q579:Q580"/>
    <mergeCell ref="R579:R580"/>
    <mergeCell ref="D586:I587"/>
    <mergeCell ref="J606:K607"/>
    <mergeCell ref="L606:L607"/>
    <mergeCell ref="M606:Q606"/>
    <mergeCell ref="M607:Q607"/>
    <mergeCell ref="B609:B610"/>
    <mergeCell ref="C609:C610"/>
    <mergeCell ref="D609:I609"/>
    <mergeCell ref="J609:J610"/>
    <mergeCell ref="K609:K610"/>
    <mergeCell ref="T590:T591"/>
    <mergeCell ref="U590:U591"/>
    <mergeCell ref="D591:F591"/>
    <mergeCell ref="G591:I591"/>
    <mergeCell ref="D605:I605"/>
    <mergeCell ref="J605:K605"/>
    <mergeCell ref="M605:Q605"/>
    <mergeCell ref="M590:M591"/>
    <mergeCell ref="N590:N591"/>
    <mergeCell ref="O590:O591"/>
    <mergeCell ref="Q590:Q591"/>
    <mergeCell ref="R590:R591"/>
    <mergeCell ref="S590:S591"/>
    <mergeCell ref="B590:B591"/>
    <mergeCell ref="C590:C591"/>
    <mergeCell ref="D590:I590"/>
    <mergeCell ref="J590:J591"/>
    <mergeCell ref="K590:K591"/>
    <mergeCell ref="L590:L591"/>
    <mergeCell ref="D606:I607"/>
    <mergeCell ref="J617:K618"/>
    <mergeCell ref="L617:L618"/>
    <mergeCell ref="M617:Q617"/>
    <mergeCell ref="M618:Q618"/>
    <mergeCell ref="B620:B621"/>
    <mergeCell ref="C620:C621"/>
    <mergeCell ref="D620:I620"/>
    <mergeCell ref="J620:J621"/>
    <mergeCell ref="K620:K621"/>
    <mergeCell ref="S609:S610"/>
    <mergeCell ref="T609:T610"/>
    <mergeCell ref="U609:U610"/>
    <mergeCell ref="D610:F610"/>
    <mergeCell ref="G610:I610"/>
    <mergeCell ref="D616:I616"/>
    <mergeCell ref="J616:K616"/>
    <mergeCell ref="M616:Q616"/>
    <mergeCell ref="L609:L610"/>
    <mergeCell ref="M609:M610"/>
    <mergeCell ref="N609:N610"/>
    <mergeCell ref="O609:O610"/>
    <mergeCell ref="Q609:Q610"/>
    <mergeCell ref="R609:R610"/>
    <mergeCell ref="D617:I618"/>
    <mergeCell ref="J629:K630"/>
    <mergeCell ref="L629:L630"/>
    <mergeCell ref="M629:Q629"/>
    <mergeCell ref="M630:Q630"/>
    <mergeCell ref="G631:L631"/>
    <mergeCell ref="S620:S621"/>
    <mergeCell ref="T620:T621"/>
    <mergeCell ref="U620:U621"/>
    <mergeCell ref="D621:F621"/>
    <mergeCell ref="G621:I621"/>
    <mergeCell ref="D628:I628"/>
    <mergeCell ref="J628:K628"/>
    <mergeCell ref="M628:Q628"/>
    <mergeCell ref="L620:L621"/>
    <mergeCell ref="M620:M621"/>
    <mergeCell ref="N620:N621"/>
    <mergeCell ref="O620:O621"/>
    <mergeCell ref="Q620:Q621"/>
    <mergeCell ref="R620:R621"/>
    <mergeCell ref="D629:I630"/>
    <mergeCell ref="B654:B655"/>
    <mergeCell ref="C654:C655"/>
    <mergeCell ref="D654:I654"/>
    <mergeCell ref="J654:J655"/>
    <mergeCell ref="K654:K655"/>
    <mergeCell ref="D651:I652"/>
    <mergeCell ref="T632:T633"/>
    <mergeCell ref="U632:U633"/>
    <mergeCell ref="D633:F633"/>
    <mergeCell ref="G633:I633"/>
    <mergeCell ref="D650:I650"/>
    <mergeCell ref="J650:K650"/>
    <mergeCell ref="M650:Q650"/>
    <mergeCell ref="M632:M633"/>
    <mergeCell ref="N632:N633"/>
    <mergeCell ref="O632:O633"/>
    <mergeCell ref="Q632:Q633"/>
    <mergeCell ref="R632:R633"/>
    <mergeCell ref="S632:S633"/>
    <mergeCell ref="B632:B633"/>
    <mergeCell ref="C632:C633"/>
    <mergeCell ref="D632:I632"/>
    <mergeCell ref="J632:J633"/>
    <mergeCell ref="K632:K633"/>
    <mergeCell ref="L632:L633"/>
    <mergeCell ref="R654:R655"/>
    <mergeCell ref="S654:S655"/>
    <mergeCell ref="T654:T655"/>
    <mergeCell ref="U654:U655"/>
    <mergeCell ref="D655:F655"/>
    <mergeCell ref="G655:I655"/>
    <mergeCell ref="L654:L655"/>
    <mergeCell ref="M654:M655"/>
    <mergeCell ref="N654:N655"/>
    <mergeCell ref="O654:O655"/>
    <mergeCell ref="P654:P655"/>
    <mergeCell ref="Q654:Q655"/>
    <mergeCell ref="J651:K652"/>
    <mergeCell ref="L651:L652"/>
    <mergeCell ref="M651:Q651"/>
    <mergeCell ref="M652:Q652"/>
    <mergeCell ref="T670:T671"/>
    <mergeCell ref="U670:U671"/>
    <mergeCell ref="D671:F671"/>
    <mergeCell ref="G671:I671"/>
    <mergeCell ref="M670:M671"/>
    <mergeCell ref="N670:N671"/>
    <mergeCell ref="O670:O671"/>
    <mergeCell ref="Q670:Q671"/>
    <mergeCell ref="R670:R671"/>
    <mergeCell ref="S670:S671"/>
    <mergeCell ref="J666:K666"/>
    <mergeCell ref="M666:Q666"/>
    <mergeCell ref="D667:I668"/>
    <mergeCell ref="J667:K668"/>
    <mergeCell ref="L667:L668"/>
    <mergeCell ref="M667:Q667"/>
    <mergeCell ref="M668:Q668"/>
    <mergeCell ref="B670:B671"/>
    <mergeCell ref="C670:C671"/>
    <mergeCell ref="D670:I670"/>
    <mergeCell ref="J670:J671"/>
    <mergeCell ref="K670:K671"/>
    <mergeCell ref="L670:L671"/>
    <mergeCell ref="J718:K719"/>
    <mergeCell ref="L718:L719"/>
    <mergeCell ref="M718:Q718"/>
    <mergeCell ref="M719:Q719"/>
    <mergeCell ref="J677:K678"/>
    <mergeCell ref="L677:L678"/>
    <mergeCell ref="M677:Q677"/>
    <mergeCell ref="M678:Q678"/>
    <mergeCell ref="D677:I678"/>
    <mergeCell ref="D666:I666"/>
    <mergeCell ref="J680:J681"/>
    <mergeCell ref="D676:I676"/>
    <mergeCell ref="J676:K676"/>
    <mergeCell ref="M676:Q676"/>
    <mergeCell ref="D721:I721"/>
    <mergeCell ref="J721:J722"/>
    <mergeCell ref="K721:K722"/>
    <mergeCell ref="S680:S681"/>
    <mergeCell ref="T680:T681"/>
    <mergeCell ref="U680:U681"/>
    <mergeCell ref="D681:F681"/>
    <mergeCell ref="G681:I681"/>
    <mergeCell ref="D717:I717"/>
    <mergeCell ref="J717:K717"/>
    <mergeCell ref="M717:Q717"/>
    <mergeCell ref="L680:L681"/>
    <mergeCell ref="M680:M681"/>
    <mergeCell ref="N680:N681"/>
    <mergeCell ref="O680:O681"/>
    <mergeCell ref="Q680:Q681"/>
    <mergeCell ref="R680:R681"/>
    <mergeCell ref="D680:I680"/>
    <mergeCell ref="C745:C746"/>
    <mergeCell ref="D745:I745"/>
    <mergeCell ref="J745:J746"/>
    <mergeCell ref="K745:K746"/>
    <mergeCell ref="S721:S722"/>
    <mergeCell ref="T721:T722"/>
    <mergeCell ref="U721:U722"/>
    <mergeCell ref="D722:F722"/>
    <mergeCell ref="G722:I722"/>
    <mergeCell ref="D741:I741"/>
    <mergeCell ref="J741:K741"/>
    <mergeCell ref="M741:Q741"/>
    <mergeCell ref="L721:L722"/>
    <mergeCell ref="M721:M722"/>
    <mergeCell ref="N721:N722"/>
    <mergeCell ref="O721:O722"/>
    <mergeCell ref="Q721:Q722"/>
    <mergeCell ref="R721:R722"/>
    <mergeCell ref="S745:S746"/>
    <mergeCell ref="T745:T746"/>
    <mergeCell ref="U745:U746"/>
    <mergeCell ref="D746:F746"/>
    <mergeCell ref="G746:I746"/>
    <mergeCell ref="L745:L746"/>
    <mergeCell ref="M745:M746"/>
    <mergeCell ref="N745:N746"/>
    <mergeCell ref="O745:O746"/>
    <mergeCell ref="Q745:Q746"/>
    <mergeCell ref="R745:R746"/>
    <mergeCell ref="D742:I743"/>
    <mergeCell ref="J742:K743"/>
    <mergeCell ref="L742:L743"/>
    <mergeCell ref="M742:Q742"/>
    <mergeCell ref="M743:Q743"/>
    <mergeCell ref="M764:Q764"/>
    <mergeCell ref="D765:I766"/>
    <mergeCell ref="J765:K766"/>
    <mergeCell ref="L765:L766"/>
    <mergeCell ref="M765:Q765"/>
    <mergeCell ref="M766:Q766"/>
    <mergeCell ref="D751:F751"/>
    <mergeCell ref="G751:I751"/>
    <mergeCell ref="D752:F752"/>
    <mergeCell ref="G752:I752"/>
    <mergeCell ref="D764:I764"/>
    <mergeCell ref="J764:K764"/>
    <mergeCell ref="D748:F748"/>
    <mergeCell ref="G748:I748"/>
    <mergeCell ref="D749:F749"/>
    <mergeCell ref="G749:I749"/>
    <mergeCell ref="D750:F750"/>
    <mergeCell ref="G750:I750"/>
    <mergeCell ref="D754:F754"/>
    <mergeCell ref="D755:F755"/>
    <mergeCell ref="G755:I755"/>
    <mergeCell ref="D763:F763"/>
    <mergeCell ref="G763:I763"/>
    <mergeCell ref="D756:F756"/>
    <mergeCell ref="G756:I756"/>
    <mergeCell ref="D757:F757"/>
    <mergeCell ref="G757:I757"/>
    <mergeCell ref="D759:F759"/>
    <mergeCell ref="G759:I759"/>
    <mergeCell ref="D760:F760"/>
    <mergeCell ref="L775:L776"/>
    <mergeCell ref="M775:Q775"/>
    <mergeCell ref="M776:Q776"/>
    <mergeCell ref="B778:B779"/>
    <mergeCell ref="C778:C779"/>
    <mergeCell ref="D778:I778"/>
    <mergeCell ref="J778:J779"/>
    <mergeCell ref="K778:K779"/>
    <mergeCell ref="T768:T769"/>
    <mergeCell ref="U768:U769"/>
    <mergeCell ref="D769:F769"/>
    <mergeCell ref="G769:I769"/>
    <mergeCell ref="D774:I774"/>
    <mergeCell ref="J774:K774"/>
    <mergeCell ref="M774:Q774"/>
    <mergeCell ref="M768:M769"/>
    <mergeCell ref="N768:N769"/>
    <mergeCell ref="O768:O769"/>
    <mergeCell ref="Q768:Q769"/>
    <mergeCell ref="R768:R769"/>
    <mergeCell ref="S768:S769"/>
    <mergeCell ref="B768:B769"/>
    <mergeCell ref="C768:C769"/>
    <mergeCell ref="D768:I768"/>
    <mergeCell ref="J768:J769"/>
    <mergeCell ref="K768:K769"/>
    <mergeCell ref="L768:L769"/>
    <mergeCell ref="D775:I776"/>
    <mergeCell ref="L814:L815"/>
    <mergeCell ref="M814:Q814"/>
    <mergeCell ref="M815:Q815"/>
    <mergeCell ref="G817:L817"/>
    <mergeCell ref="S778:S779"/>
    <mergeCell ref="T778:T779"/>
    <mergeCell ref="U778:U779"/>
    <mergeCell ref="D779:F779"/>
    <mergeCell ref="G779:I779"/>
    <mergeCell ref="D813:I813"/>
    <mergeCell ref="J813:K813"/>
    <mergeCell ref="M813:Q813"/>
    <mergeCell ref="L778:L779"/>
    <mergeCell ref="M778:M779"/>
    <mergeCell ref="N778:N779"/>
    <mergeCell ref="O778:O779"/>
    <mergeCell ref="Q778:Q779"/>
    <mergeCell ref="R778:R779"/>
    <mergeCell ref="D814:I815"/>
    <mergeCell ref="L830:L831"/>
    <mergeCell ref="M830:Q830"/>
    <mergeCell ref="M831:Q831"/>
    <mergeCell ref="B833:B834"/>
    <mergeCell ref="C833:C834"/>
    <mergeCell ref="D833:I833"/>
    <mergeCell ref="J833:J834"/>
    <mergeCell ref="K833:K834"/>
    <mergeCell ref="T819:T820"/>
    <mergeCell ref="U819:U820"/>
    <mergeCell ref="D820:F820"/>
    <mergeCell ref="G820:I820"/>
    <mergeCell ref="D829:I829"/>
    <mergeCell ref="J829:K829"/>
    <mergeCell ref="M829:Q829"/>
    <mergeCell ref="M819:M820"/>
    <mergeCell ref="N819:N820"/>
    <mergeCell ref="O819:O820"/>
    <mergeCell ref="Q819:Q820"/>
    <mergeCell ref="R819:R820"/>
    <mergeCell ref="S819:S820"/>
    <mergeCell ref="B819:B820"/>
    <mergeCell ref="C819:C820"/>
    <mergeCell ref="D819:I819"/>
    <mergeCell ref="J819:J820"/>
    <mergeCell ref="K819:K820"/>
    <mergeCell ref="L819:L820"/>
    <mergeCell ref="D830:I831"/>
    <mergeCell ref="L839:L840"/>
    <mergeCell ref="M839:Q839"/>
    <mergeCell ref="M840:Q840"/>
    <mergeCell ref="C842:C843"/>
    <mergeCell ref="D842:I842"/>
    <mergeCell ref="J842:J843"/>
    <mergeCell ref="K842:K843"/>
    <mergeCell ref="S833:S834"/>
    <mergeCell ref="T833:T834"/>
    <mergeCell ref="U833:U834"/>
    <mergeCell ref="D834:F834"/>
    <mergeCell ref="G834:I834"/>
    <mergeCell ref="D838:I838"/>
    <mergeCell ref="J838:K838"/>
    <mergeCell ref="M838:Q838"/>
    <mergeCell ref="L833:L834"/>
    <mergeCell ref="M833:M834"/>
    <mergeCell ref="N833:N834"/>
    <mergeCell ref="O833:O834"/>
    <mergeCell ref="Q833:Q834"/>
    <mergeCell ref="R833:R834"/>
    <mergeCell ref="D839:I840"/>
    <mergeCell ref="M857:Q857"/>
    <mergeCell ref="D858:I859"/>
    <mergeCell ref="J858:K859"/>
    <mergeCell ref="L858:L859"/>
    <mergeCell ref="M858:Q858"/>
    <mergeCell ref="M859:Q859"/>
    <mergeCell ref="R842:R843"/>
    <mergeCell ref="S842:S843"/>
    <mergeCell ref="T842:T843"/>
    <mergeCell ref="U842:U843"/>
    <mergeCell ref="D843:F843"/>
    <mergeCell ref="G843:I843"/>
    <mergeCell ref="L842:L843"/>
    <mergeCell ref="M842:M843"/>
    <mergeCell ref="N842:N843"/>
    <mergeCell ref="O842:O843"/>
    <mergeCell ref="P842:P843"/>
    <mergeCell ref="Q842:Q843"/>
    <mergeCell ref="D857:I857"/>
    <mergeCell ref="L868:L869"/>
    <mergeCell ref="M868:Q868"/>
    <mergeCell ref="M869:Q869"/>
    <mergeCell ref="B871:B872"/>
    <mergeCell ref="C871:C872"/>
    <mergeCell ref="D871:I871"/>
    <mergeCell ref="J871:J872"/>
    <mergeCell ref="K871:K872"/>
    <mergeCell ref="T861:T862"/>
    <mergeCell ref="U861:U862"/>
    <mergeCell ref="D862:F862"/>
    <mergeCell ref="G862:I862"/>
    <mergeCell ref="D867:I867"/>
    <mergeCell ref="J867:K867"/>
    <mergeCell ref="M867:Q867"/>
    <mergeCell ref="M861:M862"/>
    <mergeCell ref="N861:N862"/>
    <mergeCell ref="O861:O862"/>
    <mergeCell ref="Q861:Q862"/>
    <mergeCell ref="R861:R862"/>
    <mergeCell ref="S861:S862"/>
    <mergeCell ref="B861:B862"/>
    <mergeCell ref="C861:C862"/>
    <mergeCell ref="D861:I861"/>
    <mergeCell ref="J861:J862"/>
    <mergeCell ref="K861:K862"/>
    <mergeCell ref="L861:L862"/>
    <mergeCell ref="D868:I869"/>
    <mergeCell ref="M890:Q890"/>
    <mergeCell ref="D891:I892"/>
    <mergeCell ref="J891:K892"/>
    <mergeCell ref="L891:L892"/>
    <mergeCell ref="M891:Q891"/>
    <mergeCell ref="M892:Q892"/>
    <mergeCell ref="R871:R872"/>
    <mergeCell ref="S871:S872"/>
    <mergeCell ref="T871:T872"/>
    <mergeCell ref="U871:U872"/>
    <mergeCell ref="D872:F872"/>
    <mergeCell ref="G872:I872"/>
    <mergeCell ref="L871:L872"/>
    <mergeCell ref="M871:M872"/>
    <mergeCell ref="N871:N872"/>
    <mergeCell ref="O871:O872"/>
    <mergeCell ref="P871:P872"/>
    <mergeCell ref="Q871:Q872"/>
    <mergeCell ref="D890:I890"/>
    <mergeCell ref="L901:L902"/>
    <mergeCell ref="M901:Q901"/>
    <mergeCell ref="M902:Q902"/>
    <mergeCell ref="B904:B905"/>
    <mergeCell ref="C904:C905"/>
    <mergeCell ref="D904:I904"/>
    <mergeCell ref="J904:J905"/>
    <mergeCell ref="K904:K905"/>
    <mergeCell ref="T894:T895"/>
    <mergeCell ref="U894:U895"/>
    <mergeCell ref="D895:F895"/>
    <mergeCell ref="G895:I895"/>
    <mergeCell ref="D900:I900"/>
    <mergeCell ref="J900:K900"/>
    <mergeCell ref="M900:Q900"/>
    <mergeCell ref="M894:M895"/>
    <mergeCell ref="N894:N895"/>
    <mergeCell ref="O894:O895"/>
    <mergeCell ref="Q894:Q895"/>
    <mergeCell ref="R894:R895"/>
    <mergeCell ref="S894:S895"/>
    <mergeCell ref="B894:B895"/>
    <mergeCell ref="C894:C895"/>
    <mergeCell ref="D894:I894"/>
    <mergeCell ref="J894:J895"/>
    <mergeCell ref="K894:K895"/>
    <mergeCell ref="L894:L895"/>
    <mergeCell ref="D901:I902"/>
    <mergeCell ref="L910:L911"/>
    <mergeCell ref="M910:Q910"/>
    <mergeCell ref="M911:Q911"/>
    <mergeCell ref="B913:B914"/>
    <mergeCell ref="C913:C914"/>
    <mergeCell ref="D913:I913"/>
    <mergeCell ref="J913:J914"/>
    <mergeCell ref="K913:K914"/>
    <mergeCell ref="S904:S905"/>
    <mergeCell ref="T904:T905"/>
    <mergeCell ref="U904:U905"/>
    <mergeCell ref="D905:F905"/>
    <mergeCell ref="G905:I905"/>
    <mergeCell ref="D909:I909"/>
    <mergeCell ref="J909:K909"/>
    <mergeCell ref="M909:Q909"/>
    <mergeCell ref="L904:L905"/>
    <mergeCell ref="M904:M905"/>
    <mergeCell ref="N904:N905"/>
    <mergeCell ref="O904:O905"/>
    <mergeCell ref="Q904:Q905"/>
    <mergeCell ref="R904:R905"/>
    <mergeCell ref="D910:I911"/>
    <mergeCell ref="J910:K911"/>
    <mergeCell ref="L922:L923"/>
    <mergeCell ref="M922:Q922"/>
    <mergeCell ref="M923:Q923"/>
    <mergeCell ref="B925:B926"/>
    <mergeCell ref="C925:C926"/>
    <mergeCell ref="D925:I925"/>
    <mergeCell ref="J925:J926"/>
    <mergeCell ref="K925:K926"/>
    <mergeCell ref="S913:S914"/>
    <mergeCell ref="T913:T914"/>
    <mergeCell ref="U913:U914"/>
    <mergeCell ref="D914:F914"/>
    <mergeCell ref="G914:I914"/>
    <mergeCell ref="D921:I921"/>
    <mergeCell ref="J921:K921"/>
    <mergeCell ref="M921:Q921"/>
    <mergeCell ref="L913:L914"/>
    <mergeCell ref="M913:M914"/>
    <mergeCell ref="N913:N914"/>
    <mergeCell ref="O913:O914"/>
    <mergeCell ref="Q913:Q914"/>
    <mergeCell ref="R913:R914"/>
    <mergeCell ref="D922:I923"/>
    <mergeCell ref="J922:K923"/>
    <mergeCell ref="L932:L933"/>
    <mergeCell ref="M932:Q932"/>
    <mergeCell ref="M933:Q933"/>
    <mergeCell ref="B935:B936"/>
    <mergeCell ref="C935:C936"/>
    <mergeCell ref="D935:I935"/>
    <mergeCell ref="J935:J936"/>
    <mergeCell ref="K935:K936"/>
    <mergeCell ref="S925:S926"/>
    <mergeCell ref="T925:T926"/>
    <mergeCell ref="U925:U926"/>
    <mergeCell ref="D926:F926"/>
    <mergeCell ref="G926:I926"/>
    <mergeCell ref="D931:I931"/>
    <mergeCell ref="J931:K931"/>
    <mergeCell ref="M931:Q931"/>
    <mergeCell ref="L925:L926"/>
    <mergeCell ref="M925:M926"/>
    <mergeCell ref="N925:N926"/>
    <mergeCell ref="O925:O926"/>
    <mergeCell ref="Q925:Q926"/>
    <mergeCell ref="R925:R926"/>
    <mergeCell ref="D932:I933"/>
    <mergeCell ref="J932:K933"/>
    <mergeCell ref="L941:L942"/>
    <mergeCell ref="M941:Q941"/>
    <mergeCell ref="M942:Q942"/>
    <mergeCell ref="B944:B945"/>
    <mergeCell ref="C944:C945"/>
    <mergeCell ref="D944:I944"/>
    <mergeCell ref="J944:J945"/>
    <mergeCell ref="K944:K945"/>
    <mergeCell ref="S935:S936"/>
    <mergeCell ref="T935:T936"/>
    <mergeCell ref="U935:U936"/>
    <mergeCell ref="D936:F936"/>
    <mergeCell ref="G936:I936"/>
    <mergeCell ref="D940:I940"/>
    <mergeCell ref="J940:K940"/>
    <mergeCell ref="M940:Q940"/>
    <mergeCell ref="L935:L936"/>
    <mergeCell ref="M935:M936"/>
    <mergeCell ref="N935:N936"/>
    <mergeCell ref="O935:O936"/>
    <mergeCell ref="Q935:Q936"/>
    <mergeCell ref="R935:R936"/>
    <mergeCell ref="D941:I942"/>
    <mergeCell ref="J941:K942"/>
    <mergeCell ref="L951:L952"/>
    <mergeCell ref="M951:Q951"/>
    <mergeCell ref="M952:Q952"/>
    <mergeCell ref="D954:I954"/>
    <mergeCell ref="J954:J955"/>
    <mergeCell ref="K954:K955"/>
    <mergeCell ref="S944:S945"/>
    <mergeCell ref="T944:T945"/>
    <mergeCell ref="U944:U945"/>
    <mergeCell ref="D945:F945"/>
    <mergeCell ref="G945:I945"/>
    <mergeCell ref="D950:I950"/>
    <mergeCell ref="J950:K950"/>
    <mergeCell ref="M950:Q950"/>
    <mergeCell ref="L944:L945"/>
    <mergeCell ref="M944:M945"/>
    <mergeCell ref="N944:N945"/>
    <mergeCell ref="O944:O945"/>
    <mergeCell ref="Q944:Q945"/>
    <mergeCell ref="R944:R945"/>
    <mergeCell ref="D951:I952"/>
    <mergeCell ref="J951:K952"/>
    <mergeCell ref="M979:Q979"/>
    <mergeCell ref="D980:I981"/>
    <mergeCell ref="J980:K981"/>
    <mergeCell ref="L980:L981"/>
    <mergeCell ref="M980:Q980"/>
    <mergeCell ref="M981:Q981"/>
    <mergeCell ref="R954:R955"/>
    <mergeCell ref="S954:S955"/>
    <mergeCell ref="T954:T955"/>
    <mergeCell ref="U954:U955"/>
    <mergeCell ref="D955:F955"/>
    <mergeCell ref="G955:I955"/>
    <mergeCell ref="L954:L955"/>
    <mergeCell ref="M954:M955"/>
    <mergeCell ref="N954:N955"/>
    <mergeCell ref="O954:O955"/>
    <mergeCell ref="Q954:Q955"/>
    <mergeCell ref="D979:I979"/>
    <mergeCell ref="L991:L992"/>
    <mergeCell ref="M991:Q991"/>
    <mergeCell ref="M992:Q992"/>
    <mergeCell ref="D994:I994"/>
    <mergeCell ref="J994:J995"/>
    <mergeCell ref="K994:K995"/>
    <mergeCell ref="T984:T985"/>
    <mergeCell ref="U984:U985"/>
    <mergeCell ref="D985:F985"/>
    <mergeCell ref="G985:I985"/>
    <mergeCell ref="D990:I990"/>
    <mergeCell ref="J990:K990"/>
    <mergeCell ref="M990:Q990"/>
    <mergeCell ref="M984:M985"/>
    <mergeCell ref="N984:N985"/>
    <mergeCell ref="O984:O985"/>
    <mergeCell ref="Q984:Q985"/>
    <mergeCell ref="R984:R985"/>
    <mergeCell ref="S984:S985"/>
    <mergeCell ref="D984:I984"/>
    <mergeCell ref="J984:J985"/>
    <mergeCell ref="K984:K985"/>
    <mergeCell ref="L984:L985"/>
    <mergeCell ref="D991:I992"/>
    <mergeCell ref="L1001:L1002"/>
    <mergeCell ref="M1001:Q1001"/>
    <mergeCell ref="M1002:Q1002"/>
    <mergeCell ref="D1004:I1004"/>
    <mergeCell ref="J1004:J1005"/>
    <mergeCell ref="K1004:K1005"/>
    <mergeCell ref="S994:S995"/>
    <mergeCell ref="T994:T995"/>
    <mergeCell ref="U994:U995"/>
    <mergeCell ref="D995:F995"/>
    <mergeCell ref="G995:I995"/>
    <mergeCell ref="D1000:I1000"/>
    <mergeCell ref="J1000:K1000"/>
    <mergeCell ref="M1000:Q1000"/>
    <mergeCell ref="L994:L995"/>
    <mergeCell ref="M994:M995"/>
    <mergeCell ref="N994:N995"/>
    <mergeCell ref="O994:O995"/>
    <mergeCell ref="Q994:Q995"/>
    <mergeCell ref="R994:R995"/>
    <mergeCell ref="L1011:L1012"/>
    <mergeCell ref="M1011:Q1011"/>
    <mergeCell ref="M1012:Q1012"/>
    <mergeCell ref="D1014:I1014"/>
    <mergeCell ref="J1014:J1015"/>
    <mergeCell ref="K1014:K1015"/>
    <mergeCell ref="S1004:S1005"/>
    <mergeCell ref="T1004:T1005"/>
    <mergeCell ref="U1004:U1005"/>
    <mergeCell ref="D1005:F1005"/>
    <mergeCell ref="G1005:I1005"/>
    <mergeCell ref="D1010:I1010"/>
    <mergeCell ref="J1010:K1010"/>
    <mergeCell ref="M1010:Q1010"/>
    <mergeCell ref="L1004:L1005"/>
    <mergeCell ref="M1004:M1005"/>
    <mergeCell ref="N1004:N1005"/>
    <mergeCell ref="O1004:O1005"/>
    <mergeCell ref="Q1004:Q1005"/>
    <mergeCell ref="R1004:R1005"/>
    <mergeCell ref="M1020:Q1020"/>
    <mergeCell ref="D1021:I1022"/>
    <mergeCell ref="J1021:K1022"/>
    <mergeCell ref="L1021:L1022"/>
    <mergeCell ref="M1021:Q1021"/>
    <mergeCell ref="M1022:Q1022"/>
    <mergeCell ref="R1014:R1015"/>
    <mergeCell ref="S1014:S1015"/>
    <mergeCell ref="T1014:T1015"/>
    <mergeCell ref="U1014:U1015"/>
    <mergeCell ref="D1015:F1015"/>
    <mergeCell ref="G1015:I1015"/>
    <mergeCell ref="L1014:L1015"/>
    <mergeCell ref="M1014:M1015"/>
    <mergeCell ref="N1014:N1015"/>
    <mergeCell ref="O1014:O1015"/>
    <mergeCell ref="Q1014:Q1015"/>
    <mergeCell ref="L1031:L1032"/>
    <mergeCell ref="M1031:Q1031"/>
    <mergeCell ref="M1032:Q1032"/>
    <mergeCell ref="B1034:B1035"/>
    <mergeCell ref="C1034:C1035"/>
    <mergeCell ref="D1034:I1034"/>
    <mergeCell ref="J1034:J1035"/>
    <mergeCell ref="K1034:K1035"/>
    <mergeCell ref="S1025:S1026"/>
    <mergeCell ref="T1025:T1026"/>
    <mergeCell ref="U1025:U1026"/>
    <mergeCell ref="D1026:F1026"/>
    <mergeCell ref="G1026:I1026"/>
    <mergeCell ref="D1030:I1030"/>
    <mergeCell ref="J1030:K1030"/>
    <mergeCell ref="M1030:Q1030"/>
    <mergeCell ref="M1025:M1026"/>
    <mergeCell ref="N1025:N1026"/>
    <mergeCell ref="O1025:O1026"/>
    <mergeCell ref="P1025:P1026"/>
    <mergeCell ref="Q1025:Q1026"/>
    <mergeCell ref="R1025:R1026"/>
    <mergeCell ref="B1025:B1026"/>
    <mergeCell ref="C1025:C1026"/>
    <mergeCell ref="D1025:I1025"/>
    <mergeCell ref="J1025:J1026"/>
    <mergeCell ref="K1025:K1026"/>
    <mergeCell ref="L1025:L1026"/>
    <mergeCell ref="L1041:L1042"/>
    <mergeCell ref="M1041:Q1041"/>
    <mergeCell ref="M1042:Q1042"/>
    <mergeCell ref="B1044:B1045"/>
    <mergeCell ref="C1044:C1045"/>
    <mergeCell ref="D1044:I1044"/>
    <mergeCell ref="J1044:J1045"/>
    <mergeCell ref="K1044:K1045"/>
    <mergeCell ref="S1034:S1035"/>
    <mergeCell ref="T1034:T1035"/>
    <mergeCell ref="U1034:U1035"/>
    <mergeCell ref="D1035:F1035"/>
    <mergeCell ref="G1035:I1035"/>
    <mergeCell ref="D1040:I1040"/>
    <mergeCell ref="J1040:K1040"/>
    <mergeCell ref="M1040:Q1040"/>
    <mergeCell ref="L1034:L1035"/>
    <mergeCell ref="M1034:M1035"/>
    <mergeCell ref="N1034:N1035"/>
    <mergeCell ref="O1034:O1035"/>
    <mergeCell ref="Q1034:Q1035"/>
    <mergeCell ref="R1034:R1035"/>
    <mergeCell ref="M1052:Q1052"/>
    <mergeCell ref="D1053:I1054"/>
    <mergeCell ref="J1053:K1054"/>
    <mergeCell ref="L1053:L1054"/>
    <mergeCell ref="M1053:Q1053"/>
    <mergeCell ref="M1054:Q1054"/>
    <mergeCell ref="R1044:R1045"/>
    <mergeCell ref="S1044:S1045"/>
    <mergeCell ref="T1044:T1045"/>
    <mergeCell ref="U1044:U1045"/>
    <mergeCell ref="D1045:F1045"/>
    <mergeCell ref="G1045:I1045"/>
    <mergeCell ref="L1044:L1045"/>
    <mergeCell ref="M1044:M1045"/>
    <mergeCell ref="N1044:N1045"/>
    <mergeCell ref="O1044:O1045"/>
    <mergeCell ref="P1044:P1045"/>
    <mergeCell ref="Q1044:Q1045"/>
    <mergeCell ref="D1052:I1052"/>
    <mergeCell ref="J1052:K1052"/>
    <mergeCell ref="L1063:L1064"/>
    <mergeCell ref="M1063:Q1063"/>
    <mergeCell ref="M1064:Q1064"/>
    <mergeCell ref="B1066:B1067"/>
    <mergeCell ref="C1066:C1067"/>
    <mergeCell ref="D1066:I1066"/>
    <mergeCell ref="J1066:J1067"/>
    <mergeCell ref="K1066:K1067"/>
    <mergeCell ref="S1056:S1057"/>
    <mergeCell ref="T1056:T1057"/>
    <mergeCell ref="U1056:U1057"/>
    <mergeCell ref="D1057:F1057"/>
    <mergeCell ref="G1057:I1057"/>
    <mergeCell ref="D1062:I1062"/>
    <mergeCell ref="J1062:K1062"/>
    <mergeCell ref="M1062:Q1062"/>
    <mergeCell ref="M1056:M1057"/>
    <mergeCell ref="N1056:N1057"/>
    <mergeCell ref="O1056:O1057"/>
    <mergeCell ref="P1056:P1057"/>
    <mergeCell ref="Q1056:Q1057"/>
    <mergeCell ref="R1056:R1057"/>
    <mergeCell ref="B1056:B1057"/>
    <mergeCell ref="C1056:C1057"/>
    <mergeCell ref="D1056:I1056"/>
    <mergeCell ref="J1056:J1057"/>
    <mergeCell ref="K1056:K1057"/>
    <mergeCell ref="L1056:L1057"/>
    <mergeCell ref="D1063:I1064"/>
    <mergeCell ref="J1063:K1064"/>
    <mergeCell ref="M1072:Q1072"/>
    <mergeCell ref="D1073:I1074"/>
    <mergeCell ref="J1073:K1074"/>
    <mergeCell ref="L1073:L1074"/>
    <mergeCell ref="M1073:Q1073"/>
    <mergeCell ref="M1074:Q1074"/>
    <mergeCell ref="R1066:R1067"/>
    <mergeCell ref="S1066:S1067"/>
    <mergeCell ref="T1066:T1067"/>
    <mergeCell ref="U1066:U1067"/>
    <mergeCell ref="D1067:F1067"/>
    <mergeCell ref="G1067:I1067"/>
    <mergeCell ref="L1066:L1067"/>
    <mergeCell ref="M1066:M1067"/>
    <mergeCell ref="N1066:N1067"/>
    <mergeCell ref="O1066:O1067"/>
    <mergeCell ref="P1066:P1067"/>
    <mergeCell ref="Q1066:Q1067"/>
    <mergeCell ref="D1072:I1072"/>
    <mergeCell ref="J1072:K1072"/>
    <mergeCell ref="L1083:L1084"/>
    <mergeCell ref="M1083:Q1083"/>
    <mergeCell ref="M1084:Q1084"/>
    <mergeCell ref="D1086:I1086"/>
    <mergeCell ref="J1086:J1087"/>
    <mergeCell ref="K1086:K1087"/>
    <mergeCell ref="T1076:T1077"/>
    <mergeCell ref="U1076:U1077"/>
    <mergeCell ref="D1077:F1077"/>
    <mergeCell ref="G1077:I1077"/>
    <mergeCell ref="D1082:I1082"/>
    <mergeCell ref="J1082:K1082"/>
    <mergeCell ref="M1082:Q1082"/>
    <mergeCell ref="M1076:M1077"/>
    <mergeCell ref="N1076:N1077"/>
    <mergeCell ref="O1076:O1077"/>
    <mergeCell ref="Q1076:Q1077"/>
    <mergeCell ref="R1076:R1077"/>
    <mergeCell ref="S1076:S1077"/>
    <mergeCell ref="D1076:I1076"/>
    <mergeCell ref="J1076:J1077"/>
    <mergeCell ref="K1076:K1077"/>
    <mergeCell ref="L1076:L1077"/>
    <mergeCell ref="D1083:I1084"/>
    <mergeCell ref="J1083:K1084"/>
    <mergeCell ref="L1093:L1094"/>
    <mergeCell ref="M1093:Q1093"/>
    <mergeCell ref="M1094:Q1094"/>
    <mergeCell ref="B1097:B1098"/>
    <mergeCell ref="C1097:C1098"/>
    <mergeCell ref="D1097:I1097"/>
    <mergeCell ref="J1097:J1098"/>
    <mergeCell ref="K1097:K1098"/>
    <mergeCell ref="S1086:S1087"/>
    <mergeCell ref="T1086:T1087"/>
    <mergeCell ref="U1086:U1087"/>
    <mergeCell ref="D1087:F1087"/>
    <mergeCell ref="G1087:I1087"/>
    <mergeCell ref="D1092:I1092"/>
    <mergeCell ref="J1092:K1092"/>
    <mergeCell ref="M1092:Q1092"/>
    <mergeCell ref="L1086:L1087"/>
    <mergeCell ref="M1086:M1087"/>
    <mergeCell ref="N1086:N1087"/>
    <mergeCell ref="O1086:O1087"/>
    <mergeCell ref="Q1086:Q1087"/>
    <mergeCell ref="R1086:R1087"/>
    <mergeCell ref="D1093:I1094"/>
    <mergeCell ref="J1093:K1094"/>
    <mergeCell ref="L1105:L1106"/>
    <mergeCell ref="M1105:Q1105"/>
    <mergeCell ref="M1106:Q1106"/>
    <mergeCell ref="B1107:U1107"/>
    <mergeCell ref="S1097:S1098"/>
    <mergeCell ref="T1097:T1098"/>
    <mergeCell ref="U1097:U1098"/>
    <mergeCell ref="D1098:F1098"/>
    <mergeCell ref="G1098:I1098"/>
    <mergeCell ref="D1104:I1104"/>
    <mergeCell ref="J1104:K1104"/>
    <mergeCell ref="M1104:Q1104"/>
    <mergeCell ref="L1097:L1098"/>
    <mergeCell ref="M1097:M1098"/>
    <mergeCell ref="N1097:N1098"/>
    <mergeCell ref="O1097:O1098"/>
    <mergeCell ref="Q1097:Q1098"/>
    <mergeCell ref="R1097:R1098"/>
    <mergeCell ref="D1105:I1106"/>
    <mergeCell ref="J1105:K1106"/>
    <mergeCell ref="L1120:L1121"/>
    <mergeCell ref="M1120:Q1120"/>
    <mergeCell ref="M1121:Q1121"/>
    <mergeCell ref="B1123:B1124"/>
    <mergeCell ref="C1123:C1124"/>
    <mergeCell ref="D1123:I1123"/>
    <mergeCell ref="J1123:J1124"/>
    <mergeCell ref="K1123:K1124"/>
    <mergeCell ref="T1108:T1109"/>
    <mergeCell ref="U1108:U1109"/>
    <mergeCell ref="D1109:F1109"/>
    <mergeCell ref="G1109:I1109"/>
    <mergeCell ref="D1119:I1119"/>
    <mergeCell ref="J1119:K1119"/>
    <mergeCell ref="M1119:Q1119"/>
    <mergeCell ref="M1108:M1109"/>
    <mergeCell ref="N1108:N1109"/>
    <mergeCell ref="O1108:O1109"/>
    <mergeCell ref="Q1108:Q1109"/>
    <mergeCell ref="R1108:R1109"/>
    <mergeCell ref="S1108:S1109"/>
    <mergeCell ref="B1108:B1109"/>
    <mergeCell ref="C1108:C1109"/>
    <mergeCell ref="D1108:I1108"/>
    <mergeCell ref="J1108:J1109"/>
    <mergeCell ref="K1108:K1109"/>
    <mergeCell ref="L1108:L1109"/>
    <mergeCell ref="D1120:I1121"/>
    <mergeCell ref="J1120:K1121"/>
    <mergeCell ref="L1130:L1131"/>
    <mergeCell ref="M1130:Q1130"/>
    <mergeCell ref="M1131:Q1131"/>
    <mergeCell ref="B1133:B1134"/>
    <mergeCell ref="C1133:C1134"/>
    <mergeCell ref="D1133:I1133"/>
    <mergeCell ref="J1133:J1134"/>
    <mergeCell ref="K1133:K1134"/>
    <mergeCell ref="S1123:S1124"/>
    <mergeCell ref="T1123:T1124"/>
    <mergeCell ref="U1123:U1124"/>
    <mergeCell ref="D1124:F1124"/>
    <mergeCell ref="G1124:I1124"/>
    <mergeCell ref="D1129:I1129"/>
    <mergeCell ref="J1129:K1129"/>
    <mergeCell ref="M1129:Q1129"/>
    <mergeCell ref="L1123:L1124"/>
    <mergeCell ref="M1123:M1124"/>
    <mergeCell ref="N1123:N1124"/>
    <mergeCell ref="O1123:O1124"/>
    <mergeCell ref="Q1123:Q1124"/>
    <mergeCell ref="R1123:R1124"/>
    <mergeCell ref="D1130:I1131"/>
    <mergeCell ref="J1130:K1131"/>
    <mergeCell ref="L1140:L1141"/>
    <mergeCell ref="M1140:Q1140"/>
    <mergeCell ref="M1141:Q1141"/>
    <mergeCell ref="B1142:U1142"/>
    <mergeCell ref="S1133:S1134"/>
    <mergeCell ref="T1133:T1134"/>
    <mergeCell ref="U1133:U1134"/>
    <mergeCell ref="D1134:F1134"/>
    <mergeCell ref="G1134:I1134"/>
    <mergeCell ref="D1139:I1139"/>
    <mergeCell ref="J1139:K1139"/>
    <mergeCell ref="M1139:Q1139"/>
    <mergeCell ref="L1133:L1134"/>
    <mergeCell ref="M1133:M1134"/>
    <mergeCell ref="N1133:N1134"/>
    <mergeCell ref="O1133:O1134"/>
    <mergeCell ref="Q1133:Q1134"/>
    <mergeCell ref="R1133:R1134"/>
    <mergeCell ref="D1140:I1141"/>
    <mergeCell ref="J1140:K1141"/>
    <mergeCell ref="L1150:L1151"/>
    <mergeCell ref="M1150:Q1150"/>
    <mergeCell ref="M1151:Q1151"/>
    <mergeCell ref="B1153:B1154"/>
    <mergeCell ref="C1153:C1154"/>
    <mergeCell ref="D1153:I1153"/>
    <mergeCell ref="J1153:J1154"/>
    <mergeCell ref="K1153:K1154"/>
    <mergeCell ref="T1143:T1144"/>
    <mergeCell ref="U1143:U1144"/>
    <mergeCell ref="D1144:F1144"/>
    <mergeCell ref="G1144:I1144"/>
    <mergeCell ref="D1149:I1149"/>
    <mergeCell ref="J1149:K1149"/>
    <mergeCell ref="M1149:Q1149"/>
    <mergeCell ref="M1143:M1144"/>
    <mergeCell ref="N1143:N1144"/>
    <mergeCell ref="O1143:O1144"/>
    <mergeCell ref="Q1143:Q1144"/>
    <mergeCell ref="R1143:R1144"/>
    <mergeCell ref="S1143:S1144"/>
    <mergeCell ref="B1143:B1144"/>
    <mergeCell ref="C1143:C1144"/>
    <mergeCell ref="D1143:I1143"/>
    <mergeCell ref="J1143:J1144"/>
    <mergeCell ref="K1143:K1144"/>
    <mergeCell ref="L1143:L1144"/>
    <mergeCell ref="D1150:I1151"/>
    <mergeCell ref="J1150:K1151"/>
    <mergeCell ref="S1175:S1176"/>
    <mergeCell ref="T1175:T1176"/>
    <mergeCell ref="U1175:U1176"/>
    <mergeCell ref="L1160:L1161"/>
    <mergeCell ref="M1160:Q1160"/>
    <mergeCell ref="M1161:Q1161"/>
    <mergeCell ref="B1164:B1165"/>
    <mergeCell ref="C1164:C1165"/>
    <mergeCell ref="D1164:I1164"/>
    <mergeCell ref="J1164:J1165"/>
    <mergeCell ref="K1164:K1165"/>
    <mergeCell ref="S1153:S1154"/>
    <mergeCell ref="T1153:T1154"/>
    <mergeCell ref="U1153:U1154"/>
    <mergeCell ref="D1154:F1154"/>
    <mergeCell ref="G1154:I1154"/>
    <mergeCell ref="D1159:I1159"/>
    <mergeCell ref="J1159:K1159"/>
    <mergeCell ref="M1159:Q1159"/>
    <mergeCell ref="L1153:L1154"/>
    <mergeCell ref="M1153:M1154"/>
    <mergeCell ref="N1153:N1154"/>
    <mergeCell ref="O1153:O1154"/>
    <mergeCell ref="Q1153:Q1154"/>
    <mergeCell ref="R1153:R1154"/>
    <mergeCell ref="D1160:I1161"/>
    <mergeCell ref="J1160:K1161"/>
    <mergeCell ref="D1176:F1176"/>
    <mergeCell ref="G1176:I1176"/>
    <mergeCell ref="J1211:K1211"/>
    <mergeCell ref="D1198:I1199"/>
    <mergeCell ref="J1198:K1199"/>
    <mergeCell ref="L1173:L1174"/>
    <mergeCell ref="M1173:Q1173"/>
    <mergeCell ref="M1174:Q1174"/>
    <mergeCell ref="B1188:U1188"/>
    <mergeCell ref="S1164:S1165"/>
    <mergeCell ref="T1164:T1165"/>
    <mergeCell ref="U1164:U1165"/>
    <mergeCell ref="D1165:F1165"/>
    <mergeCell ref="G1165:I1165"/>
    <mergeCell ref="D1172:I1172"/>
    <mergeCell ref="J1172:K1172"/>
    <mergeCell ref="M1172:Q1172"/>
    <mergeCell ref="L1164:L1165"/>
    <mergeCell ref="M1164:M1165"/>
    <mergeCell ref="N1164:N1165"/>
    <mergeCell ref="O1164:O1165"/>
    <mergeCell ref="Q1164:Q1165"/>
    <mergeCell ref="R1164:R1165"/>
    <mergeCell ref="B1175:B1176"/>
    <mergeCell ref="C1175:C1176"/>
    <mergeCell ref="D1175:I1175"/>
    <mergeCell ref="J1175:J1176"/>
    <mergeCell ref="K1175:K1176"/>
    <mergeCell ref="L1175:L1176"/>
    <mergeCell ref="M1175:M1176"/>
    <mergeCell ref="N1175:N1176"/>
    <mergeCell ref="O1175:O1176"/>
    <mergeCell ref="Q1175:Q1176"/>
    <mergeCell ref="R1175:R1176"/>
    <mergeCell ref="R1201:R1202"/>
    <mergeCell ref="L1198:L1199"/>
    <mergeCell ref="M1198:Q1198"/>
    <mergeCell ref="M1199:Q1199"/>
    <mergeCell ref="D1201:I1201"/>
    <mergeCell ref="J1201:J1202"/>
    <mergeCell ref="K1201:K1202"/>
    <mergeCell ref="T1189:T1190"/>
    <mergeCell ref="U1189:U1190"/>
    <mergeCell ref="D1190:F1190"/>
    <mergeCell ref="G1190:I1190"/>
    <mergeCell ref="D1197:I1197"/>
    <mergeCell ref="J1197:K1197"/>
    <mergeCell ref="M1197:Q1197"/>
    <mergeCell ref="M1189:M1190"/>
    <mergeCell ref="N1189:N1190"/>
    <mergeCell ref="O1189:O1190"/>
    <mergeCell ref="Q1189:Q1190"/>
    <mergeCell ref="R1189:R1190"/>
    <mergeCell ref="S1189:S1190"/>
    <mergeCell ref="R1216:R1217"/>
    <mergeCell ref="S1216:S1217"/>
    <mergeCell ref="T1216:T1217"/>
    <mergeCell ref="U1216:U1217"/>
    <mergeCell ref="D1217:F1217"/>
    <mergeCell ref="G1217:I1217"/>
    <mergeCell ref="L1216:L1217"/>
    <mergeCell ref="M1216:M1217"/>
    <mergeCell ref="N1216:N1217"/>
    <mergeCell ref="O1216:O1217"/>
    <mergeCell ref="P1216:P1217"/>
    <mergeCell ref="Q1216:Q1217"/>
    <mergeCell ref="B1189:B1190"/>
    <mergeCell ref="C1189:C1190"/>
    <mergeCell ref="D1189:I1189"/>
    <mergeCell ref="J1189:J1190"/>
    <mergeCell ref="K1189:K1190"/>
    <mergeCell ref="L1189:L1190"/>
    <mergeCell ref="L1212:L1213"/>
    <mergeCell ref="M1212:Q1212"/>
    <mergeCell ref="M1213:Q1213"/>
    <mergeCell ref="B1216:B1217"/>
    <mergeCell ref="C1216:C1217"/>
    <mergeCell ref="D1216:I1216"/>
    <mergeCell ref="J1216:J1217"/>
    <mergeCell ref="K1216:K1217"/>
    <mergeCell ref="S1201:S1202"/>
    <mergeCell ref="T1201:T1202"/>
    <mergeCell ref="U1201:U1202"/>
    <mergeCell ref="D1202:F1202"/>
    <mergeCell ref="G1202:I1202"/>
    <mergeCell ref="D1211:I1211"/>
    <mergeCell ref="U1250:U1251"/>
    <mergeCell ref="D1251:F1251"/>
    <mergeCell ref="G1251:I1251"/>
    <mergeCell ref="D1265:I1265"/>
    <mergeCell ref="J1265:K1265"/>
    <mergeCell ref="M1265:Q1265"/>
    <mergeCell ref="M1250:M1251"/>
    <mergeCell ref="N1250:N1251"/>
    <mergeCell ref="O1250:O1251"/>
    <mergeCell ref="P1250:P1251"/>
    <mergeCell ref="Q1250:Q1251"/>
    <mergeCell ref="R1250:R1251"/>
    <mergeCell ref="M1246:Q1246"/>
    <mergeCell ref="D1247:I1248"/>
    <mergeCell ref="J1247:K1248"/>
    <mergeCell ref="L1247:L1248"/>
    <mergeCell ref="M1247:Q1247"/>
    <mergeCell ref="M1248:Q1248"/>
    <mergeCell ref="D1246:I1246"/>
    <mergeCell ref="J1246:K1246"/>
    <mergeCell ref="B1250:B1251"/>
    <mergeCell ref="C1250:C1251"/>
    <mergeCell ref="D1250:I1250"/>
    <mergeCell ref="J1250:J1251"/>
    <mergeCell ref="K1250:K1251"/>
    <mergeCell ref="L1250:L1251"/>
    <mergeCell ref="M1282:Q1282"/>
    <mergeCell ref="D1283:I1284"/>
    <mergeCell ref="J1283:K1284"/>
    <mergeCell ref="L1283:L1284"/>
    <mergeCell ref="M1283:Q1283"/>
    <mergeCell ref="M1284:Q1284"/>
    <mergeCell ref="R1269:R1270"/>
    <mergeCell ref="S1269:S1270"/>
    <mergeCell ref="T1269:T1270"/>
    <mergeCell ref="U1269:U1270"/>
    <mergeCell ref="D1270:F1270"/>
    <mergeCell ref="G1270:I1270"/>
    <mergeCell ref="L1269:L1270"/>
    <mergeCell ref="M1269:M1270"/>
    <mergeCell ref="N1269:N1270"/>
    <mergeCell ref="O1269:O1270"/>
    <mergeCell ref="P1269:P1270"/>
    <mergeCell ref="Q1269:Q1270"/>
    <mergeCell ref="L1266:L1267"/>
    <mergeCell ref="M1266:Q1266"/>
    <mergeCell ref="M1267:Q1267"/>
    <mergeCell ref="D1269:I1269"/>
    <mergeCell ref="J1269:J1270"/>
    <mergeCell ref="K1269:K1270"/>
    <mergeCell ref="S1250:S1251"/>
    <mergeCell ref="T1250:T1251"/>
    <mergeCell ref="B1304:B1305"/>
    <mergeCell ref="C1304:C1305"/>
    <mergeCell ref="D1304:I1304"/>
    <mergeCell ref="J1304:J1305"/>
    <mergeCell ref="K1304:K1305"/>
    <mergeCell ref="T1286:T1287"/>
    <mergeCell ref="U1286:U1287"/>
    <mergeCell ref="D1287:F1287"/>
    <mergeCell ref="G1287:I1287"/>
    <mergeCell ref="D1300:I1300"/>
    <mergeCell ref="J1300:K1300"/>
    <mergeCell ref="M1300:Q1300"/>
    <mergeCell ref="M1286:M1287"/>
    <mergeCell ref="N1286:N1287"/>
    <mergeCell ref="O1286:O1287"/>
    <mergeCell ref="Q1286:Q1287"/>
    <mergeCell ref="R1286:R1287"/>
    <mergeCell ref="S1286:S1287"/>
    <mergeCell ref="B1286:B1287"/>
    <mergeCell ref="C1286:C1287"/>
    <mergeCell ref="D1286:I1286"/>
    <mergeCell ref="J1286:J1287"/>
    <mergeCell ref="K1286:K1287"/>
    <mergeCell ref="L1286:L1287"/>
    <mergeCell ref="D1301:I1302"/>
    <mergeCell ref="J1301:K1302"/>
    <mergeCell ref="S1304:S1305"/>
    <mergeCell ref="T1304:T1305"/>
    <mergeCell ref="U1304:U1305"/>
    <mergeCell ref="D1305:F1305"/>
    <mergeCell ref="G1305:I1305"/>
    <mergeCell ref="D1311:I1311"/>
    <mergeCell ref="J1311:K1311"/>
    <mergeCell ref="M1311:Q1311"/>
    <mergeCell ref="L1304:L1305"/>
    <mergeCell ref="M1304:M1305"/>
    <mergeCell ref="N1304:N1305"/>
    <mergeCell ref="O1304:O1305"/>
    <mergeCell ref="Q1304:Q1305"/>
    <mergeCell ref="R1304:R1305"/>
    <mergeCell ref="D1312:I1313"/>
    <mergeCell ref="J1312:K1313"/>
    <mergeCell ref="L1301:L1302"/>
    <mergeCell ref="M1301:Q1301"/>
    <mergeCell ref="M1302:Q1302"/>
    <mergeCell ref="S1315:S1316"/>
    <mergeCell ref="T1315:T1316"/>
    <mergeCell ref="U1315:U1316"/>
    <mergeCell ref="D1316:F1316"/>
    <mergeCell ref="G1316:I1316"/>
    <mergeCell ref="D1344:I1344"/>
    <mergeCell ref="J1344:K1344"/>
    <mergeCell ref="M1344:Q1344"/>
    <mergeCell ref="L1315:L1316"/>
    <mergeCell ref="M1315:M1316"/>
    <mergeCell ref="N1315:N1316"/>
    <mergeCell ref="O1315:O1316"/>
    <mergeCell ref="Q1315:Q1316"/>
    <mergeCell ref="R1315:R1316"/>
    <mergeCell ref="S1348:S1349"/>
    <mergeCell ref="T1348:T1349"/>
    <mergeCell ref="U1348:U1349"/>
    <mergeCell ref="D1349:F1349"/>
    <mergeCell ref="G1349:I1349"/>
    <mergeCell ref="D1345:I1346"/>
    <mergeCell ref="J1345:K1346"/>
    <mergeCell ref="D1315:I1315"/>
    <mergeCell ref="J1315:J1316"/>
    <mergeCell ref="K1315:K1316"/>
    <mergeCell ref="C1372:C1373"/>
    <mergeCell ref="D1372:I1372"/>
    <mergeCell ref="J1372:J1373"/>
    <mergeCell ref="K1372:K1373"/>
    <mergeCell ref="S1382:S1383"/>
    <mergeCell ref="T1382:T1383"/>
    <mergeCell ref="U1382:U1383"/>
    <mergeCell ref="D1383:F1383"/>
    <mergeCell ref="G1383:I1383"/>
    <mergeCell ref="D1399:I1399"/>
    <mergeCell ref="J1399:K1399"/>
    <mergeCell ref="M1399:Q1399"/>
    <mergeCell ref="L1382:L1383"/>
    <mergeCell ref="M1382:M1383"/>
    <mergeCell ref="N1382:N1383"/>
    <mergeCell ref="O1382:O1383"/>
    <mergeCell ref="Q1382:Q1383"/>
    <mergeCell ref="R1382:R1383"/>
    <mergeCell ref="D1382:I1382"/>
    <mergeCell ref="J1382:J1383"/>
    <mergeCell ref="K1382:K1383"/>
    <mergeCell ref="S1372:S1373"/>
    <mergeCell ref="T1372:T1373"/>
    <mergeCell ref="U1372:U1373"/>
    <mergeCell ref="D1373:F1373"/>
    <mergeCell ref="M1378:Q1378"/>
    <mergeCell ref="L1372:L1373"/>
    <mergeCell ref="M1372:M1373"/>
    <mergeCell ref="N1372:N1373"/>
    <mergeCell ref="O1372:O1373"/>
    <mergeCell ref="Q1372:Q1373"/>
    <mergeCell ref="D1379:I1380"/>
    <mergeCell ref="T1403:T1404"/>
    <mergeCell ref="U1403:U1404"/>
    <mergeCell ref="D1404:F1404"/>
    <mergeCell ref="G1404:I1404"/>
    <mergeCell ref="D1409:I1409"/>
    <mergeCell ref="J1409:K1409"/>
    <mergeCell ref="M1409:Q1409"/>
    <mergeCell ref="L1403:L1404"/>
    <mergeCell ref="M1403:M1404"/>
    <mergeCell ref="N1403:N1404"/>
    <mergeCell ref="O1403:O1404"/>
    <mergeCell ref="Q1403:Q1404"/>
    <mergeCell ref="R1403:R1404"/>
    <mergeCell ref="D1400:I1401"/>
    <mergeCell ref="J1400:K1401"/>
    <mergeCell ref="L1400:L1401"/>
    <mergeCell ref="M1400:Q1400"/>
    <mergeCell ref="M1401:Q1401"/>
    <mergeCell ref="D1403:I1403"/>
    <mergeCell ref="S1403:S1404"/>
    <mergeCell ref="J1403:J1404"/>
    <mergeCell ref="K1403:K1404"/>
    <mergeCell ref="J1368:K1368"/>
    <mergeCell ref="M1368:Q1368"/>
    <mergeCell ref="L1348:L1349"/>
    <mergeCell ref="M1348:M1349"/>
    <mergeCell ref="N1348:N1349"/>
    <mergeCell ref="O1348:O1349"/>
    <mergeCell ref="Q1348:Q1349"/>
    <mergeCell ref="R1348:R1349"/>
    <mergeCell ref="G1373:I1373"/>
    <mergeCell ref="D1378:I1378"/>
    <mergeCell ref="J1378:K1378"/>
    <mergeCell ref="R1372:R1373"/>
    <mergeCell ref="D1369:I1370"/>
    <mergeCell ref="J1369:K1370"/>
    <mergeCell ref="L1369:L1370"/>
    <mergeCell ref="M1369:Q1369"/>
    <mergeCell ref="M1370:Q1370"/>
    <mergeCell ref="D1348:I1348"/>
    <mergeCell ref="J1348:J1349"/>
    <mergeCell ref="K1348:K1349"/>
    <mergeCell ref="K680:K681"/>
    <mergeCell ref="L1410:L1411"/>
    <mergeCell ref="M1410:Q1410"/>
    <mergeCell ref="M1411:Q1411"/>
    <mergeCell ref="J1410:K1411"/>
    <mergeCell ref="D1410:I1411"/>
    <mergeCell ref="L1345:L1346"/>
    <mergeCell ref="M1345:Q1345"/>
    <mergeCell ref="M1346:Q1346"/>
    <mergeCell ref="L1312:L1313"/>
    <mergeCell ref="M1312:Q1312"/>
    <mergeCell ref="M1313:Q1313"/>
    <mergeCell ref="M1211:Q1211"/>
    <mergeCell ref="L1201:L1202"/>
    <mergeCell ref="M1201:M1202"/>
    <mergeCell ref="N1201:N1202"/>
    <mergeCell ref="O1201:O1202"/>
    <mergeCell ref="Q1201:Q1202"/>
    <mergeCell ref="J839:K840"/>
    <mergeCell ref="J830:K831"/>
    <mergeCell ref="J814:K815"/>
    <mergeCell ref="J775:K776"/>
    <mergeCell ref="D1266:I1267"/>
    <mergeCell ref="D1011:I1012"/>
    <mergeCell ref="D1001:I1002"/>
    <mergeCell ref="J1379:K1380"/>
    <mergeCell ref="L1379:L1380"/>
    <mergeCell ref="M1379:Q1379"/>
    <mergeCell ref="G747:I747"/>
    <mergeCell ref="D718:I719"/>
    <mergeCell ref="M1380:Q1380"/>
    <mergeCell ref="D1368:I1368"/>
    <mergeCell ref="G297:I297"/>
    <mergeCell ref="D287:F287"/>
    <mergeCell ref="J1282:K1282"/>
    <mergeCell ref="D1041:I1042"/>
    <mergeCell ref="G220:I220"/>
    <mergeCell ref="D265:F265"/>
    <mergeCell ref="G265:I265"/>
    <mergeCell ref="D158:F158"/>
    <mergeCell ref="D167:F167"/>
    <mergeCell ref="D168:F168"/>
    <mergeCell ref="D169:F169"/>
    <mergeCell ref="G166:I166"/>
    <mergeCell ref="G169:I169"/>
    <mergeCell ref="D216:F216"/>
    <mergeCell ref="G216:I216"/>
    <mergeCell ref="D222:F222"/>
    <mergeCell ref="G222:I222"/>
    <mergeCell ref="D223:F223"/>
    <mergeCell ref="G223:I223"/>
    <mergeCell ref="D267:I267"/>
    <mergeCell ref="D259:F259"/>
    <mergeCell ref="G259:I259"/>
    <mergeCell ref="D214:F214"/>
    <mergeCell ref="G214:I214"/>
    <mergeCell ref="D170:F170"/>
    <mergeCell ref="G170:I170"/>
    <mergeCell ref="G162:I162"/>
    <mergeCell ref="D1185:I1186"/>
    <mergeCell ref="J1185:K1186"/>
    <mergeCell ref="J1266:K1267"/>
    <mergeCell ref="D1212:I1213"/>
    <mergeCell ref="J1212:K1213"/>
    <mergeCell ref="C98:C99"/>
    <mergeCell ref="B98:B99"/>
    <mergeCell ref="C137:C138"/>
    <mergeCell ref="B137:B138"/>
    <mergeCell ref="C176:C177"/>
    <mergeCell ref="B176:B177"/>
    <mergeCell ref="C232:C233"/>
    <mergeCell ref="B232:B233"/>
    <mergeCell ref="P232:P233"/>
    <mergeCell ref="C271:C272"/>
    <mergeCell ref="B271:B272"/>
    <mergeCell ref="P271:P272"/>
    <mergeCell ref="P339:P340"/>
    <mergeCell ref="P482:P483"/>
    <mergeCell ref="C680:C681"/>
    <mergeCell ref="B680:B681"/>
    <mergeCell ref="B745:B746"/>
    <mergeCell ref="C721:C722"/>
    <mergeCell ref="B721:B722"/>
    <mergeCell ref="P680:P681"/>
    <mergeCell ref="D280:F280"/>
    <mergeCell ref="G280:I280"/>
    <mergeCell ref="D179:F179"/>
    <mergeCell ref="G179:I179"/>
    <mergeCell ref="D180:F180"/>
    <mergeCell ref="G180:I180"/>
    <mergeCell ref="D181:F181"/>
    <mergeCell ref="G181:I181"/>
    <mergeCell ref="D152:F152"/>
    <mergeCell ref="G152:I152"/>
    <mergeCell ref="D190:F190"/>
    <mergeCell ref="D220:F220"/>
    <mergeCell ref="B842:B843"/>
    <mergeCell ref="C954:C955"/>
    <mergeCell ref="B954:B955"/>
    <mergeCell ref="P954:P955"/>
    <mergeCell ref="C984:C985"/>
    <mergeCell ref="B984:B985"/>
    <mergeCell ref="P984:P985"/>
    <mergeCell ref="C994:C995"/>
    <mergeCell ref="B994:B995"/>
    <mergeCell ref="C1004:C1005"/>
    <mergeCell ref="B1004:B1005"/>
    <mergeCell ref="C1014:C1015"/>
    <mergeCell ref="B1014:B1015"/>
    <mergeCell ref="C1201:C1202"/>
    <mergeCell ref="B1201:B1202"/>
    <mergeCell ref="C1269:C1270"/>
    <mergeCell ref="B1269:B1270"/>
    <mergeCell ref="D1173:I1174"/>
    <mergeCell ref="J1173:K1174"/>
    <mergeCell ref="J901:K902"/>
    <mergeCell ref="J890:K890"/>
    <mergeCell ref="J868:K869"/>
    <mergeCell ref="J857:K857"/>
    <mergeCell ref="J1041:K1042"/>
    <mergeCell ref="D1031:I1032"/>
    <mergeCell ref="J1031:K1032"/>
    <mergeCell ref="D1020:I1020"/>
    <mergeCell ref="J1020:K1020"/>
    <mergeCell ref="J1011:K1012"/>
    <mergeCell ref="J1001:K1002"/>
    <mergeCell ref="J991:K992"/>
    <mergeCell ref="J979:K979"/>
    <mergeCell ref="C1315:C1316"/>
    <mergeCell ref="B1315:B1316"/>
    <mergeCell ref="P1315:P1316"/>
    <mergeCell ref="C1348:C1349"/>
    <mergeCell ref="B1348:B1349"/>
    <mergeCell ref="C1382:C1383"/>
    <mergeCell ref="B1382:B1383"/>
    <mergeCell ref="C1403:C1404"/>
    <mergeCell ref="B1403:B1404"/>
    <mergeCell ref="C1531:C1532"/>
    <mergeCell ref="D1906:F1906"/>
    <mergeCell ref="D1897:F1897"/>
    <mergeCell ref="D1876:F1876"/>
    <mergeCell ref="D1867:F1867"/>
    <mergeCell ref="G1876:I1876"/>
    <mergeCell ref="G1867:I1867"/>
    <mergeCell ref="D1853:F1853"/>
    <mergeCell ref="G1853:I1853"/>
    <mergeCell ref="D1832:F1832"/>
    <mergeCell ref="G1832:I1832"/>
    <mergeCell ref="D1823:F1823"/>
    <mergeCell ref="G1823:I1823"/>
    <mergeCell ref="D1812:F1812"/>
    <mergeCell ref="G1812:I1812"/>
    <mergeCell ref="D1802:F1802"/>
    <mergeCell ref="G1802:I1802"/>
    <mergeCell ref="D1773:F1773"/>
    <mergeCell ref="G1773:I1773"/>
    <mergeCell ref="D1727:F1727"/>
    <mergeCell ref="G1727:I1727"/>
    <mergeCell ref="D1718:F1718"/>
    <mergeCell ref="B1372:B1373"/>
    <mergeCell ref="B1628:B1629"/>
    <mergeCell ref="C1831:C1832"/>
    <mergeCell ref="K1628:K1629"/>
    <mergeCell ref="G1718:I1718"/>
    <mergeCell ref="D1717:I1717"/>
    <mergeCell ref="D1696:I1696"/>
    <mergeCell ref="D1697:F1697"/>
    <mergeCell ref="G1697:I1697"/>
    <mergeCell ref="D1676:I1676"/>
    <mergeCell ref="D1677:F1677"/>
    <mergeCell ref="G1677:I1677"/>
    <mergeCell ref="D1648:I1648"/>
    <mergeCell ref="D1649:F1649"/>
    <mergeCell ref="G1649:I1649"/>
    <mergeCell ref="D1638:I1638"/>
    <mergeCell ref="D1639:F1639"/>
    <mergeCell ref="G1639:I1639"/>
    <mergeCell ref="D1628:I1628"/>
    <mergeCell ref="D1629:F1629"/>
    <mergeCell ref="G1629:I1629"/>
    <mergeCell ref="D1798:I1799"/>
    <mergeCell ref="D1769:I1770"/>
    <mergeCell ref="D1808:I1809"/>
    <mergeCell ref="J1645:K1646"/>
    <mergeCell ref="J1656:K1656"/>
    <mergeCell ref="J1657:K1658"/>
    <mergeCell ref="J1672:K1672"/>
    <mergeCell ref="J1673:K1674"/>
  </mergeCells>
  <conditionalFormatting sqref="J22:K24 J32:K34 J43:K45 J53:K55 J63:K65 J73:K75 J83:K85 J95:K97 J134 J136:K136 J173 J175:K175 J229 J231:K231 J268 J270:K270 J307 J309:K309 J326:K328 J336:K338 J358:K360 J371:K373 J386:K388 J397:K399 J413:K415 J422:K424 J434:K436 J448:K450 J458:K460 J468:K470 J478:K480 J494:K496 J523:K525 J536:K538 J546:K548 J556:K558 J566:K568 J576:K578 J586:K588 J606:K608 J617:K619 J629:K630 J651:K653 J667:K669 J677:K679 J718:K720 J742:K744 J765:K767 J775:K777 J814:K816 J830:K832 J839:K841 J858:K860 J868:K870 J891:K893 J901:K903 J910:K912 J922:K924 J932:K934 J941:K943 J951:K953 J980:K982 J991 J993:K993 J1001:K1003 J1011:K1013 J1021:K1023 J1031:K1033 J1041:K1043 J1053:K1055 J1063:K1065 J1073 J1075:K1075 J1083:K1085 J1093:K1095 J1105:K1106 J1120:K1122 J1130:K1132 J1140:K1141 J1150:K1152 J1160:K1162 J1173:K1174 J1185:K1187 J1198:K1200 J1212 J1214:K1215 J1247 J1249:K1249 J1266 J1268:K1268 J1283 J1285:K1285 J1301:K1303 J1312:K1314 J1345 J1347:K1347 J1369 J1371:K1371 J1379:K1381 J1400 J1402:K1402 J1410 J1412:K1413 J1420:K1421 J1438 J1464 J1471 J1498 J1528 J1555 J1584 J1603 J1615 J1625 J1635 J1645 J1657 J1673 J1693 J1714 J1723 J1747 J1769 J1798 J1808 J1819 J1828 J1837 J1848 J1862 J1872 J1881 J1893 J1902 J1915 J1924">
    <cfRule type="cellIs" dxfId="1" priority="35" operator="greaterThanOrEqual">
      <formula>1</formula>
    </cfRule>
    <cfRule type="cellIs" dxfId="0" priority="36" operator="greaterThan">
      <formula>100%</formula>
    </cfRule>
  </conditionalFormatting>
  <printOptions horizontalCentered="1"/>
  <pageMargins left="0.39370078740157483" right="0.39370078740157483" top="0.59055118110236227" bottom="0.39370078740157483" header="0" footer="0.31496062992125984"/>
  <pageSetup paperSize="9" scale="36" firstPageNumber="28" fitToWidth="5" fitToHeight="0" orientation="landscape" r:id="rId1"/>
  <rowBreaks count="1" manualBreakCount="1">
    <brk id="12" max="20" man="1"/>
  </rowBreaks>
  <ignoredErrors>
    <ignoredError sqref="O64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dimension ref="A1:EU65"/>
  <sheetViews>
    <sheetView view="pageBreakPreview" topLeftCell="A4" zoomScale="60" zoomScaleNormal="85" workbookViewId="0">
      <pane xSplit="7" ySplit="7" topLeftCell="CP11" activePane="bottomRight" state="frozen"/>
      <selection activeCell="A4" sqref="A4"/>
      <selection pane="topRight" activeCell="H4" sqref="H4"/>
      <selection pane="bottomLeft" activeCell="A11" sqref="A11"/>
      <selection pane="bottomRight" activeCell="EJ20" sqref="EJ20:EM20"/>
    </sheetView>
  </sheetViews>
  <sheetFormatPr defaultRowHeight="15"/>
  <cols>
    <col min="3" max="3" width="8.5703125" customWidth="1"/>
    <col min="4" max="4" width="11.42578125" customWidth="1"/>
    <col min="5" max="5" width="10.7109375" customWidth="1"/>
    <col min="6" max="6" width="23.5703125" style="982" customWidth="1"/>
    <col min="7" max="7" width="23.140625" style="982" customWidth="1"/>
    <col min="8" max="8" width="4.28515625" customWidth="1"/>
    <col min="9" max="27" width="4.7109375" customWidth="1"/>
    <col min="28" max="118" width="4.85546875" customWidth="1"/>
    <col min="119" max="123" width="5.42578125" customWidth="1"/>
    <col min="124" max="130" width="4.85546875" customWidth="1"/>
    <col min="131" max="131" width="5.42578125" customWidth="1"/>
    <col min="132" max="138" width="4.85546875" customWidth="1"/>
    <col min="139" max="139" width="5.7109375" customWidth="1"/>
    <col min="140" max="142" width="4.85546875" customWidth="1"/>
    <col min="143" max="143" width="5.7109375" customWidth="1"/>
    <col min="144" max="144" width="9.28515625" customWidth="1"/>
    <col min="145" max="145" width="11.140625" customWidth="1"/>
    <col min="146" max="146" width="7.5703125" customWidth="1"/>
    <col min="147" max="147" width="22" hidden="1" customWidth="1"/>
    <col min="148" max="148" width="19.28515625" customWidth="1"/>
    <col min="149" max="149" width="19.42578125" customWidth="1"/>
    <col min="150" max="150" width="20.5703125" customWidth="1"/>
    <col min="151" max="151" width="18.28515625" customWidth="1"/>
  </cols>
  <sheetData>
    <row r="1" spans="1:151" ht="15" customHeight="1">
      <c r="A1" s="2868" t="s">
        <v>672</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868"/>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c r="BU1" s="2868"/>
      <c r="BV1" s="2868"/>
      <c r="BW1" s="2868"/>
      <c r="BX1" s="2868"/>
      <c r="BY1" s="2868"/>
      <c r="BZ1" s="2868"/>
      <c r="CA1" s="2868"/>
      <c r="CB1" s="2868"/>
      <c r="CC1" s="2868"/>
      <c r="CD1" s="2868"/>
      <c r="CE1" s="2868"/>
      <c r="CF1" s="2868"/>
      <c r="CG1" s="2868"/>
      <c r="CH1" s="2868"/>
      <c r="CI1" s="2868"/>
      <c r="CJ1" s="2868"/>
      <c r="CK1" s="2868"/>
      <c r="CL1" s="2868"/>
      <c r="CM1" s="2868"/>
      <c r="CN1" s="2868"/>
      <c r="CO1" s="2868"/>
      <c r="CP1" s="2868"/>
      <c r="CQ1" s="2868"/>
      <c r="CR1" s="2868"/>
      <c r="CS1" s="2868"/>
      <c r="CT1" s="2868"/>
      <c r="CU1" s="2868"/>
      <c r="CV1" s="2868"/>
      <c r="CW1" s="2868"/>
      <c r="CX1" s="2868"/>
      <c r="CY1" s="2868"/>
      <c r="CZ1" s="2868"/>
      <c r="DA1" s="2868"/>
      <c r="DB1" s="2868"/>
      <c r="DC1" s="2868"/>
      <c r="DD1" s="2868"/>
      <c r="DE1" s="2868"/>
      <c r="DF1" s="2868"/>
      <c r="DG1" s="2868"/>
      <c r="DH1" s="2868"/>
      <c r="DI1" s="2868"/>
      <c r="DJ1" s="2868"/>
      <c r="DK1" s="2868"/>
      <c r="DL1" s="2868"/>
      <c r="DM1" s="2868"/>
      <c r="DN1" s="2868"/>
      <c r="DO1" s="2868"/>
      <c r="DP1" s="2868"/>
      <c r="DQ1" s="2868"/>
      <c r="DR1" s="2868"/>
      <c r="DS1" s="2868"/>
      <c r="DT1" s="2868"/>
      <c r="DU1" s="2868"/>
      <c r="DV1" s="2868"/>
      <c r="DW1" s="2868"/>
      <c r="DX1" s="2868"/>
      <c r="DY1" s="2868"/>
      <c r="DZ1" s="2868"/>
      <c r="EA1" s="2868"/>
      <c r="EB1" s="2868"/>
      <c r="EC1" s="2868"/>
      <c r="ED1" s="2868"/>
      <c r="EE1" s="2868"/>
      <c r="EF1" s="2868"/>
      <c r="EG1" s="2868"/>
      <c r="EH1" s="2868"/>
      <c r="EI1" s="2868"/>
      <c r="EJ1" s="2868"/>
      <c r="EK1" s="2868"/>
      <c r="EL1" s="2868"/>
      <c r="EM1" s="2868"/>
      <c r="EN1" s="2868"/>
      <c r="EO1" s="2868"/>
    </row>
    <row r="2" spans="1:151" ht="15" customHeight="1">
      <c r="A2" s="2869"/>
      <c r="B2" s="2869"/>
      <c r="C2" s="2869"/>
      <c r="D2" s="2869"/>
      <c r="E2" s="2869"/>
      <c r="F2" s="2869"/>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c r="BP2" s="2869"/>
      <c r="BQ2" s="2869"/>
      <c r="BR2" s="2869"/>
      <c r="BS2" s="2869"/>
      <c r="BT2" s="2869"/>
      <c r="BU2" s="2869"/>
      <c r="BV2" s="2869"/>
      <c r="BW2" s="2869"/>
      <c r="BX2" s="2869"/>
      <c r="BY2" s="2869"/>
      <c r="BZ2" s="2869"/>
      <c r="CA2" s="2869"/>
      <c r="CB2" s="2869"/>
      <c r="CC2" s="2869"/>
      <c r="CD2" s="2869"/>
      <c r="CE2" s="2869"/>
      <c r="CF2" s="2869"/>
      <c r="CG2" s="2869"/>
      <c r="CH2" s="2869"/>
      <c r="CI2" s="2869"/>
      <c r="CJ2" s="2869"/>
      <c r="CK2" s="2869"/>
      <c r="CL2" s="2869"/>
      <c r="CM2" s="2869"/>
      <c r="CN2" s="2869"/>
      <c r="CO2" s="2869"/>
      <c r="CP2" s="2869"/>
      <c r="CQ2" s="2869"/>
      <c r="CR2" s="2869"/>
      <c r="CS2" s="2869"/>
      <c r="CT2" s="2869"/>
      <c r="CU2" s="2869"/>
      <c r="CV2" s="2869"/>
      <c r="CW2" s="2869"/>
      <c r="CX2" s="2869"/>
      <c r="CY2" s="2869"/>
      <c r="CZ2" s="2869"/>
      <c r="DA2" s="2869"/>
      <c r="DB2" s="2869"/>
      <c r="DC2" s="2869"/>
      <c r="DD2" s="2869"/>
      <c r="DE2" s="2869"/>
      <c r="DF2" s="2869"/>
      <c r="DG2" s="2869"/>
      <c r="DH2" s="2869"/>
      <c r="DI2" s="2869"/>
      <c r="DJ2" s="2869"/>
      <c r="DK2" s="2869"/>
      <c r="DL2" s="2869"/>
      <c r="DM2" s="2869"/>
      <c r="DN2" s="2869"/>
      <c r="DO2" s="2869"/>
      <c r="DP2" s="2869"/>
      <c r="DQ2" s="2869"/>
      <c r="DR2" s="2869"/>
      <c r="DS2" s="2869"/>
      <c r="DT2" s="2869"/>
      <c r="DU2" s="2869"/>
      <c r="DV2" s="2869"/>
      <c r="DW2" s="2869"/>
      <c r="DX2" s="2869"/>
      <c r="DY2" s="2869"/>
      <c r="DZ2" s="2869"/>
      <c r="EA2" s="2869"/>
      <c r="EB2" s="2869"/>
      <c r="EC2" s="2869"/>
      <c r="ED2" s="2869"/>
      <c r="EE2" s="2869"/>
      <c r="EF2" s="2869"/>
      <c r="EG2" s="2869"/>
      <c r="EH2" s="2869"/>
      <c r="EI2" s="2869"/>
      <c r="EJ2" s="2869"/>
      <c r="EK2" s="2869"/>
      <c r="EL2" s="2869"/>
      <c r="EM2" s="2869"/>
      <c r="EN2" s="2869"/>
      <c r="EO2" s="2869"/>
    </row>
    <row r="3" spans="1:151">
      <c r="A3" s="2870"/>
      <c r="B3" s="2871"/>
      <c r="C3" s="2872"/>
      <c r="D3" s="2875" t="s">
        <v>673</v>
      </c>
      <c r="E3" s="2876"/>
      <c r="F3" s="2876"/>
      <c r="G3" s="2876"/>
      <c r="H3" s="2876"/>
      <c r="I3" s="2876"/>
      <c r="J3" s="2876"/>
      <c r="K3" s="2876"/>
      <c r="L3" s="2876"/>
      <c r="M3" s="2876"/>
      <c r="N3" s="2876"/>
      <c r="O3" s="2876"/>
      <c r="P3" s="2876"/>
      <c r="Q3" s="2876"/>
      <c r="R3" s="2876"/>
      <c r="S3" s="2876"/>
      <c r="T3" s="2876"/>
      <c r="U3" s="2876"/>
      <c r="V3" s="2876"/>
      <c r="W3" s="2876"/>
      <c r="X3" s="2876"/>
      <c r="Y3" s="2876"/>
      <c r="Z3" s="2876"/>
      <c r="AA3" s="2876"/>
      <c r="AB3" s="2876"/>
      <c r="AC3" s="2876"/>
      <c r="AD3" s="2876"/>
      <c r="AE3" s="2876"/>
      <c r="AF3" s="2876"/>
      <c r="AG3" s="2876"/>
      <c r="AH3" s="2876"/>
      <c r="AI3" s="2876"/>
      <c r="AJ3" s="2876"/>
      <c r="AK3" s="2876"/>
      <c r="AL3" s="2876"/>
      <c r="AM3" s="2876"/>
      <c r="AN3" s="2876"/>
      <c r="AO3" s="2876"/>
      <c r="AP3" s="2876"/>
      <c r="AQ3" s="2876"/>
      <c r="AR3" s="2876"/>
      <c r="AS3" s="2876"/>
      <c r="AT3" s="2876"/>
      <c r="AU3" s="2876"/>
      <c r="AV3" s="2876"/>
      <c r="AW3" s="2876"/>
      <c r="AX3" s="2876"/>
      <c r="AY3" s="2876"/>
      <c r="AZ3" s="2876"/>
      <c r="BA3" s="2876"/>
      <c r="BB3" s="2876"/>
      <c r="BC3" s="2876"/>
      <c r="BD3" s="2877"/>
      <c r="BE3" s="975"/>
      <c r="BF3" s="975"/>
      <c r="BG3" s="975"/>
      <c r="BH3" s="975"/>
      <c r="BI3" s="975"/>
      <c r="BJ3" s="975"/>
      <c r="BK3" s="975"/>
      <c r="BL3" s="975"/>
      <c r="BM3" s="975"/>
      <c r="BN3" s="975"/>
      <c r="BO3" s="975"/>
      <c r="BP3" s="975"/>
      <c r="BQ3" s="975"/>
      <c r="BR3" s="975"/>
      <c r="BS3" s="975"/>
      <c r="BT3" s="975"/>
      <c r="BU3" s="975"/>
      <c r="BV3" s="975"/>
      <c r="BW3" s="975"/>
      <c r="BX3" s="975"/>
      <c r="BY3" s="975"/>
      <c r="BZ3" s="975"/>
      <c r="CA3" s="975"/>
      <c r="CB3" s="975"/>
      <c r="CC3" s="975"/>
      <c r="CD3" s="975"/>
      <c r="CE3" s="975"/>
      <c r="CF3" s="975"/>
      <c r="CG3" s="975"/>
      <c r="CH3" s="975"/>
      <c r="CI3" s="975"/>
      <c r="CJ3" s="975"/>
      <c r="CK3" s="975"/>
      <c r="CL3" s="975"/>
      <c r="CM3" s="975"/>
      <c r="CN3" s="975"/>
      <c r="CO3" s="975"/>
      <c r="CP3" s="975"/>
      <c r="CQ3" s="975"/>
      <c r="CR3" s="975"/>
      <c r="CS3" s="975"/>
      <c r="CT3" s="975"/>
      <c r="CU3" s="975"/>
      <c r="CV3" s="975"/>
      <c r="CW3" s="975"/>
      <c r="CX3" s="975"/>
      <c r="CY3" s="975"/>
      <c r="CZ3" s="975"/>
      <c r="DA3" s="975"/>
      <c r="DB3" s="975"/>
      <c r="DC3" s="975"/>
      <c r="DD3" s="975"/>
      <c r="DE3" s="975"/>
      <c r="DF3" s="975"/>
      <c r="DG3" s="975"/>
      <c r="DH3" s="975"/>
      <c r="DI3" s="975"/>
      <c r="DJ3" s="975"/>
      <c r="DK3" s="975"/>
      <c r="DL3" s="975"/>
      <c r="DM3" s="975"/>
      <c r="DN3" s="975"/>
      <c r="DO3" s="975"/>
      <c r="DP3" s="975"/>
      <c r="DQ3" s="975"/>
      <c r="DR3" s="975"/>
      <c r="DS3" s="975"/>
      <c r="DT3" s="975"/>
      <c r="DU3" s="975"/>
      <c r="DV3" s="975"/>
      <c r="DW3" s="975"/>
      <c r="DX3" s="975"/>
      <c r="DY3" s="975"/>
      <c r="DZ3" s="975"/>
      <c r="EA3" s="975"/>
      <c r="EB3" s="975"/>
      <c r="EC3" s="975"/>
      <c r="ED3" s="975"/>
      <c r="EE3" s="975"/>
      <c r="EF3" s="975"/>
      <c r="EG3" s="975"/>
      <c r="EH3" s="975"/>
      <c r="EI3" s="975"/>
      <c r="EJ3" s="975"/>
      <c r="EK3" s="975"/>
      <c r="EL3" s="975"/>
      <c r="EM3" s="975"/>
      <c r="EN3" s="975"/>
      <c r="EO3" s="976"/>
    </row>
    <row r="4" spans="1:151">
      <c r="A4" s="2873"/>
      <c r="B4" s="2807"/>
      <c r="C4" s="2874"/>
      <c r="D4" s="2878" t="s">
        <v>674</v>
      </c>
      <c r="E4" s="2879"/>
      <c r="F4" s="2879"/>
      <c r="G4" s="2879"/>
      <c r="H4" s="2879"/>
      <c r="I4" s="2879"/>
      <c r="J4" s="2879"/>
      <c r="K4" s="2879"/>
      <c r="L4" s="2879"/>
      <c r="M4" s="2879"/>
      <c r="N4" s="2879"/>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2879"/>
      <c r="AT4" s="2879"/>
      <c r="AU4" s="2879"/>
      <c r="AV4" s="2879"/>
      <c r="AW4" s="2879"/>
      <c r="AX4" s="2879"/>
      <c r="AY4" s="2879"/>
      <c r="AZ4" s="2879"/>
      <c r="BA4" s="2879"/>
      <c r="BB4" s="2879"/>
      <c r="BC4" s="2879"/>
      <c r="BD4" s="2880"/>
      <c r="EO4" s="1112"/>
    </row>
    <row r="5" spans="1:151">
      <c r="A5" s="2873"/>
      <c r="B5" s="2807"/>
      <c r="C5" s="2874"/>
      <c r="D5" s="2881" t="s">
        <v>675</v>
      </c>
      <c r="E5" s="2882"/>
      <c r="F5" s="2882"/>
      <c r="G5" s="2882"/>
      <c r="H5" s="2882"/>
      <c r="I5" s="2882"/>
      <c r="J5" s="2882"/>
      <c r="K5" s="2882"/>
      <c r="L5" s="2882"/>
      <c r="M5" s="2882"/>
      <c r="N5" s="2882"/>
      <c r="O5" s="2882"/>
      <c r="P5" s="2882"/>
      <c r="Q5" s="2882"/>
      <c r="R5" s="2882"/>
      <c r="S5" s="2882"/>
      <c r="T5" s="2882"/>
      <c r="U5" s="2882"/>
      <c r="V5" s="2882"/>
      <c r="W5" s="2882"/>
      <c r="X5" s="2882"/>
      <c r="Y5" s="2882"/>
      <c r="Z5" s="2882"/>
      <c r="AA5" s="2882"/>
      <c r="AB5" s="2882"/>
      <c r="AC5" s="2882"/>
      <c r="AD5" s="2882"/>
      <c r="AE5" s="2882"/>
      <c r="AF5" s="2882"/>
      <c r="AG5" s="2882"/>
      <c r="AH5" s="2882"/>
      <c r="AI5" s="2882"/>
      <c r="AJ5" s="2882"/>
      <c r="AK5" s="2882"/>
      <c r="AL5" s="2882"/>
      <c r="AM5" s="2882"/>
      <c r="AN5" s="2882"/>
      <c r="AO5" s="2882"/>
      <c r="AP5" s="2882"/>
      <c r="AQ5" s="2882"/>
      <c r="AR5" s="2882"/>
      <c r="AS5" s="2882"/>
      <c r="AT5" s="2882"/>
      <c r="AU5" s="2882"/>
      <c r="AV5" s="2882"/>
      <c r="AW5" s="2882"/>
      <c r="AX5" s="2882"/>
      <c r="AY5" s="2882"/>
      <c r="AZ5" s="2882"/>
      <c r="BA5" s="2882"/>
      <c r="BB5" s="2882"/>
      <c r="BC5" s="2882"/>
      <c r="BD5" s="2883"/>
      <c r="EO5" s="1112"/>
    </row>
    <row r="6" spans="1:151">
      <c r="A6" s="2873"/>
      <c r="B6" s="2807"/>
      <c r="C6" s="2874"/>
      <c r="D6" s="2884" t="s">
        <v>676</v>
      </c>
      <c r="E6" s="2885"/>
      <c r="F6" s="2885"/>
      <c r="G6" s="2885"/>
      <c r="H6" s="2885"/>
      <c r="I6" s="2885"/>
      <c r="J6" s="2885"/>
      <c r="K6" s="2885"/>
      <c r="L6" s="2885"/>
      <c r="M6" s="2885"/>
      <c r="N6" s="2885"/>
      <c r="O6" s="2885"/>
      <c r="P6" s="2885"/>
      <c r="Q6" s="2885"/>
      <c r="R6" s="2885"/>
      <c r="S6" s="2885"/>
      <c r="T6" s="2885"/>
      <c r="U6" s="2885"/>
      <c r="V6" s="2885"/>
      <c r="W6" s="2885"/>
      <c r="X6" s="2885"/>
      <c r="Y6" s="2885"/>
      <c r="Z6" s="2885"/>
      <c r="AA6" s="2885"/>
      <c r="AB6" s="2885"/>
      <c r="AC6" s="2885"/>
      <c r="AD6" s="2885"/>
      <c r="AE6" s="2885"/>
      <c r="AF6" s="2885"/>
      <c r="AG6" s="2885"/>
      <c r="AH6" s="2885"/>
      <c r="AI6" s="2885"/>
      <c r="AJ6" s="2885"/>
      <c r="AK6" s="2885"/>
      <c r="AL6" s="2885"/>
      <c r="AM6" s="2885"/>
      <c r="AN6" s="2885"/>
      <c r="AO6" s="2885"/>
      <c r="AP6" s="2885"/>
      <c r="AQ6" s="2885"/>
      <c r="AR6" s="2885"/>
      <c r="AS6" s="2885"/>
      <c r="AT6" s="2885"/>
      <c r="AU6" s="2885"/>
      <c r="AV6" s="2885"/>
      <c r="AW6" s="2885"/>
      <c r="AX6" s="2885"/>
      <c r="AY6" s="2885"/>
      <c r="AZ6" s="2885"/>
      <c r="BA6" s="2885"/>
      <c r="BB6" s="2885"/>
      <c r="BC6" s="2885"/>
      <c r="BD6" s="2886"/>
      <c r="EO6" s="1112"/>
    </row>
    <row r="7" spans="1:151">
      <c r="A7" s="2873"/>
      <c r="B7" s="2807"/>
      <c r="C7" s="2874"/>
      <c r="D7" s="2887" t="s">
        <v>677</v>
      </c>
      <c r="E7" s="2888"/>
      <c r="F7" s="2888"/>
      <c r="G7" s="2888"/>
      <c r="H7" s="2888"/>
      <c r="I7" s="2888"/>
      <c r="J7" s="2888"/>
      <c r="K7" s="2888"/>
      <c r="L7" s="2888"/>
      <c r="M7" s="2888"/>
      <c r="N7" s="2888"/>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9"/>
      <c r="AY7" s="2887" t="s">
        <v>678</v>
      </c>
      <c r="AZ7" s="2888"/>
      <c r="BA7" s="2888"/>
      <c r="BB7" s="2888"/>
      <c r="BC7" s="2888"/>
      <c r="BD7" s="2889"/>
      <c r="EO7" s="1112"/>
    </row>
    <row r="8" spans="1:151" ht="15" customHeight="1">
      <c r="A8" s="2873"/>
      <c r="B8" s="2807"/>
      <c r="C8" s="2874"/>
      <c r="D8" s="2890" t="s">
        <v>679</v>
      </c>
      <c r="E8" s="2891"/>
      <c r="F8" s="2891"/>
      <c r="G8" s="2891"/>
      <c r="H8" s="2891"/>
      <c r="I8" s="2891"/>
      <c r="J8" s="2891"/>
      <c r="K8" s="2891"/>
      <c r="L8" s="2891"/>
      <c r="M8" s="2891"/>
      <c r="N8" s="2891"/>
      <c r="O8" s="2891"/>
      <c r="P8" s="2891"/>
      <c r="Q8" s="2891"/>
      <c r="R8" s="2891"/>
      <c r="S8" s="2891"/>
      <c r="T8" s="2891"/>
      <c r="U8" s="2891"/>
      <c r="V8" s="2891"/>
      <c r="W8" s="2891"/>
      <c r="X8" s="2891"/>
      <c r="Y8" s="2891"/>
      <c r="Z8" s="2891"/>
      <c r="AA8" s="2891"/>
      <c r="AB8" s="2891"/>
      <c r="AC8" s="2891"/>
      <c r="AD8" s="2891"/>
      <c r="AE8" s="2891"/>
      <c r="AF8" s="2891"/>
      <c r="AG8" s="2891"/>
      <c r="AH8" s="2891"/>
      <c r="AI8" s="2891"/>
      <c r="AJ8" s="2891"/>
      <c r="AK8" s="2891"/>
      <c r="AL8" s="2891"/>
      <c r="AM8" s="2891"/>
      <c r="AN8" s="2891"/>
      <c r="AO8" s="2891"/>
      <c r="AP8" s="2891"/>
      <c r="AQ8" s="2891"/>
      <c r="AR8" s="2891"/>
      <c r="AS8" s="2891"/>
      <c r="AT8" s="2891"/>
      <c r="AU8" s="2891"/>
      <c r="AV8" s="2891"/>
      <c r="AW8" s="2891"/>
      <c r="AX8" s="2892"/>
      <c r="AY8" s="2884" t="s">
        <v>6</v>
      </c>
      <c r="AZ8" s="2885"/>
      <c r="BA8" s="2885"/>
      <c r="BB8" s="2885"/>
      <c r="BC8" s="2885"/>
      <c r="BD8" s="2886"/>
      <c r="EO8" s="1112"/>
    </row>
    <row r="9" spans="1:151" ht="15.75" thickBot="1">
      <c r="A9" s="2895" t="s">
        <v>672</v>
      </c>
      <c r="B9" s="2896"/>
      <c r="C9" s="2896"/>
      <c r="D9" s="2896"/>
      <c r="E9" s="2896"/>
      <c r="F9" s="2896"/>
      <c r="G9" s="2896"/>
      <c r="H9" s="2896"/>
      <c r="I9" s="2896"/>
      <c r="J9" s="2896"/>
      <c r="K9" s="2896"/>
      <c r="L9" s="2896"/>
      <c r="M9" s="2896"/>
      <c r="N9" s="2896"/>
      <c r="O9" s="2896"/>
      <c r="P9" s="2896"/>
      <c r="Q9" s="2896"/>
      <c r="R9" s="2896"/>
      <c r="S9" s="2896"/>
      <c r="T9" s="2896"/>
      <c r="U9" s="2896"/>
      <c r="V9" s="2896"/>
      <c r="W9" s="2896"/>
      <c r="X9" s="2896"/>
      <c r="Y9" s="2896"/>
      <c r="Z9" s="2896"/>
      <c r="AA9" s="2896"/>
      <c r="AB9" s="2896"/>
      <c r="AC9" s="2896"/>
      <c r="AD9" s="2896"/>
      <c r="AE9" s="2896"/>
      <c r="AF9" s="2896"/>
      <c r="AG9" s="2896"/>
      <c r="AH9" s="2896"/>
      <c r="AI9" s="2896"/>
      <c r="AJ9" s="2896"/>
      <c r="AK9" s="2896"/>
      <c r="AL9" s="2896"/>
      <c r="AM9" s="2896"/>
      <c r="AN9" s="2896"/>
      <c r="AO9" s="2896"/>
      <c r="AP9" s="2896"/>
      <c r="AQ9" s="2896"/>
      <c r="AR9" s="2896"/>
      <c r="AS9" s="2896"/>
      <c r="AT9" s="2896"/>
      <c r="AU9" s="2896"/>
      <c r="AV9" s="2896"/>
      <c r="AW9" s="2896"/>
      <c r="AX9" s="2896"/>
      <c r="AY9" s="2896"/>
      <c r="AZ9" s="2896"/>
      <c r="BA9" s="2896"/>
      <c r="BB9" s="2896"/>
      <c r="BC9" s="2896"/>
      <c r="BD9" s="2896"/>
      <c r="BE9" s="2896"/>
      <c r="BF9" s="2896"/>
      <c r="BG9" s="2896"/>
      <c r="BH9" s="2896"/>
      <c r="BI9" s="2896"/>
      <c r="BJ9" s="2896"/>
      <c r="BK9" s="2896"/>
      <c r="BL9" s="2896"/>
      <c r="BM9" s="2896"/>
      <c r="BN9" s="2896"/>
      <c r="BO9" s="2896"/>
      <c r="BP9" s="2896"/>
      <c r="BQ9" s="2896"/>
      <c r="BR9" s="2896"/>
      <c r="BS9" s="2896"/>
      <c r="BT9" s="2896"/>
      <c r="BU9" s="2896"/>
      <c r="BV9" s="2896"/>
      <c r="BW9" s="2896"/>
      <c r="BX9" s="2896"/>
      <c r="BY9" s="2896"/>
      <c r="BZ9" s="2896"/>
      <c r="CA9" s="2896"/>
      <c r="CB9" s="2896"/>
      <c r="CC9" s="2896"/>
      <c r="CD9" s="2896"/>
      <c r="CE9" s="2896"/>
      <c r="CF9" s="2896"/>
      <c r="CG9" s="2896"/>
      <c r="CH9" s="2896"/>
      <c r="CI9" s="2896"/>
      <c r="CJ9" s="2896"/>
      <c r="CK9" s="2896"/>
      <c r="CL9" s="2896"/>
      <c r="CM9" s="2896"/>
      <c r="CN9" s="2896"/>
      <c r="CO9" s="2896"/>
      <c r="CP9" s="2896"/>
      <c r="CQ9" s="2896"/>
      <c r="CR9" s="2896"/>
      <c r="CS9" s="2896"/>
      <c r="CT9" s="2896"/>
      <c r="CU9" s="2896"/>
      <c r="CV9" s="2896"/>
      <c r="CW9" s="2896"/>
      <c r="CX9" s="2896"/>
      <c r="CY9" s="2896"/>
      <c r="CZ9" s="2896"/>
      <c r="DA9" s="2896"/>
      <c r="DB9" s="2896"/>
      <c r="DC9" s="2896"/>
      <c r="DD9" s="2896"/>
      <c r="DE9" s="2896"/>
      <c r="DF9" s="2896"/>
      <c r="DG9" s="2896"/>
      <c r="DH9" s="2896"/>
      <c r="DI9" s="2896"/>
      <c r="DJ9" s="2896"/>
      <c r="DK9" s="2896"/>
      <c r="DL9" s="2896"/>
      <c r="DM9" s="2896"/>
      <c r="DN9" s="2896"/>
      <c r="DO9" s="2896"/>
      <c r="DP9" s="2896"/>
      <c r="DQ9" s="2896"/>
      <c r="DR9" s="2896"/>
      <c r="DS9" s="2896"/>
      <c r="DT9" s="2896"/>
      <c r="DU9" s="2896"/>
      <c r="DV9" s="2896"/>
      <c r="DW9" s="2896"/>
      <c r="DX9" s="2896"/>
      <c r="DY9" s="2896"/>
      <c r="DZ9" s="2896"/>
      <c r="EA9" s="2896"/>
      <c r="EB9" s="2896"/>
      <c r="EC9" s="2896"/>
      <c r="ED9" s="2896"/>
      <c r="EE9" s="2896"/>
      <c r="EF9" s="2896"/>
      <c r="EG9" s="2896"/>
      <c r="EH9" s="2896"/>
      <c r="EI9" s="2896"/>
      <c r="EJ9" s="2896"/>
      <c r="EK9" s="2896"/>
      <c r="EL9" s="2896"/>
      <c r="EM9" s="2896"/>
      <c r="EN9" s="2896"/>
      <c r="EO9" s="2897"/>
    </row>
    <row r="10" spans="1:151">
      <c r="A10" s="2898" t="s">
        <v>680</v>
      </c>
      <c r="B10" s="2900" t="s">
        <v>681</v>
      </c>
      <c r="C10" s="2901"/>
      <c r="D10" s="2901"/>
      <c r="E10" s="2902"/>
      <c r="F10" s="2906" t="s">
        <v>682</v>
      </c>
      <c r="G10" s="2860" t="s">
        <v>906</v>
      </c>
      <c r="H10" s="2756">
        <v>44805</v>
      </c>
      <c r="I10" s="2757"/>
      <c r="J10" s="2757"/>
      <c r="K10" s="2758"/>
      <c r="L10" s="2756">
        <v>44835</v>
      </c>
      <c r="M10" s="2757"/>
      <c r="N10" s="2757"/>
      <c r="O10" s="2758"/>
      <c r="P10" s="2756">
        <v>44866</v>
      </c>
      <c r="Q10" s="2757"/>
      <c r="R10" s="2757"/>
      <c r="S10" s="2758"/>
      <c r="T10" s="2756">
        <v>44896</v>
      </c>
      <c r="U10" s="2757"/>
      <c r="V10" s="2757"/>
      <c r="W10" s="2758"/>
      <c r="X10" s="2756">
        <v>44927</v>
      </c>
      <c r="Y10" s="2757"/>
      <c r="Z10" s="2757"/>
      <c r="AA10" s="2758"/>
      <c r="AB10" s="2756">
        <v>44958</v>
      </c>
      <c r="AC10" s="2757"/>
      <c r="AD10" s="2757"/>
      <c r="AE10" s="2758"/>
      <c r="AF10" s="2756">
        <v>44986</v>
      </c>
      <c r="AG10" s="2757"/>
      <c r="AH10" s="2757"/>
      <c r="AI10" s="2758"/>
      <c r="AJ10" s="2756">
        <v>45017</v>
      </c>
      <c r="AK10" s="2757"/>
      <c r="AL10" s="2757"/>
      <c r="AM10" s="2758"/>
      <c r="AN10" s="2756">
        <v>45047</v>
      </c>
      <c r="AO10" s="2757"/>
      <c r="AP10" s="2757"/>
      <c r="AQ10" s="2758"/>
      <c r="AR10" s="2756">
        <v>45078</v>
      </c>
      <c r="AS10" s="2757"/>
      <c r="AT10" s="2757"/>
      <c r="AU10" s="2758"/>
      <c r="AV10" s="2756">
        <v>45108</v>
      </c>
      <c r="AW10" s="2757"/>
      <c r="AX10" s="2757"/>
      <c r="AY10" s="2758"/>
      <c r="AZ10" s="2756">
        <v>45139</v>
      </c>
      <c r="BA10" s="2757"/>
      <c r="BB10" s="2757"/>
      <c r="BC10" s="2758"/>
      <c r="BD10" s="2756">
        <v>45170</v>
      </c>
      <c r="BE10" s="2757"/>
      <c r="BF10" s="2757"/>
      <c r="BG10" s="2758"/>
      <c r="BH10" s="2756">
        <v>45200</v>
      </c>
      <c r="BI10" s="2757"/>
      <c r="BJ10" s="2757"/>
      <c r="BK10" s="2758"/>
      <c r="BL10" s="2756">
        <v>45231</v>
      </c>
      <c r="BM10" s="2757"/>
      <c r="BN10" s="2757"/>
      <c r="BO10" s="2758"/>
      <c r="BP10" s="2756">
        <v>45261</v>
      </c>
      <c r="BQ10" s="2757"/>
      <c r="BR10" s="2757"/>
      <c r="BS10" s="2758"/>
      <c r="BT10" s="2756">
        <v>45292</v>
      </c>
      <c r="BU10" s="2757"/>
      <c r="BV10" s="2757"/>
      <c r="BW10" s="2758"/>
      <c r="BX10" s="2756">
        <v>45323</v>
      </c>
      <c r="BY10" s="2757"/>
      <c r="BZ10" s="2757"/>
      <c r="CA10" s="2758"/>
      <c r="CB10" s="2756">
        <v>45352</v>
      </c>
      <c r="CC10" s="2757"/>
      <c r="CD10" s="2757"/>
      <c r="CE10" s="2758"/>
      <c r="CF10" s="2756">
        <v>45383</v>
      </c>
      <c r="CG10" s="2757"/>
      <c r="CH10" s="2757"/>
      <c r="CI10" s="2758"/>
      <c r="CJ10" s="2756" t="s">
        <v>813</v>
      </c>
      <c r="CK10" s="2757"/>
      <c r="CL10" s="2757"/>
      <c r="CM10" s="2758"/>
      <c r="CN10" s="2756" t="s">
        <v>905</v>
      </c>
      <c r="CO10" s="2757"/>
      <c r="CP10" s="2757"/>
      <c r="CQ10" s="2758"/>
      <c r="CR10" s="2865" t="s">
        <v>924</v>
      </c>
      <c r="CS10" s="2866"/>
      <c r="CT10" s="2866"/>
      <c r="CU10" s="2867"/>
      <c r="CV10" s="2756" t="s">
        <v>992</v>
      </c>
      <c r="CW10" s="2757"/>
      <c r="CX10" s="2757"/>
      <c r="CY10" s="2758"/>
      <c r="CZ10" s="2756" t="s">
        <v>1044</v>
      </c>
      <c r="DA10" s="2757"/>
      <c r="DB10" s="2757"/>
      <c r="DC10" s="2758"/>
      <c r="DD10" s="2756" t="s">
        <v>1045</v>
      </c>
      <c r="DE10" s="2757"/>
      <c r="DF10" s="2757"/>
      <c r="DG10" s="2758"/>
      <c r="DH10" s="2756" t="s">
        <v>656</v>
      </c>
      <c r="DI10" s="2757"/>
      <c r="DJ10" s="2757"/>
      <c r="DK10" s="2757"/>
      <c r="DL10" s="2756" t="s">
        <v>668</v>
      </c>
      <c r="DM10" s="2757"/>
      <c r="DN10" s="2757"/>
      <c r="DO10" s="2758"/>
      <c r="DP10" s="2756" t="s">
        <v>1077</v>
      </c>
      <c r="DQ10" s="2757"/>
      <c r="DR10" s="2757"/>
      <c r="DS10" s="2758"/>
      <c r="DT10" s="2756" t="s">
        <v>732</v>
      </c>
      <c r="DU10" s="2757"/>
      <c r="DV10" s="2757"/>
      <c r="DW10" s="2758"/>
      <c r="DX10" s="2756" t="s">
        <v>750</v>
      </c>
      <c r="DY10" s="2757"/>
      <c r="DZ10" s="2757"/>
      <c r="EA10" s="2758"/>
      <c r="EB10" s="1414" t="s">
        <v>813</v>
      </c>
      <c r="EC10" s="1415"/>
      <c r="ED10" s="1415"/>
      <c r="EE10" s="1416"/>
      <c r="EF10" s="2756" t="s">
        <v>882</v>
      </c>
      <c r="EG10" s="2757"/>
      <c r="EH10" s="2757"/>
      <c r="EI10" s="2758"/>
      <c r="EN10" s="2861" t="s">
        <v>1093</v>
      </c>
      <c r="EO10" s="2862"/>
    </row>
    <row r="11" spans="1:151">
      <c r="A11" s="2899"/>
      <c r="B11" s="2903"/>
      <c r="C11" s="2904"/>
      <c r="D11" s="2904"/>
      <c r="E11" s="2905"/>
      <c r="F11" s="2841"/>
      <c r="G11" s="2848"/>
      <c r="H11" s="977">
        <v>1</v>
      </c>
      <c r="I11" s="977">
        <v>2</v>
      </c>
      <c r="J11" s="977">
        <v>3</v>
      </c>
      <c r="K11" s="977">
        <v>4</v>
      </c>
      <c r="L11" s="977">
        <v>1</v>
      </c>
      <c r="M11" s="977">
        <v>2</v>
      </c>
      <c r="N11" s="977">
        <v>3</v>
      </c>
      <c r="O11" s="977">
        <v>4</v>
      </c>
      <c r="P11" s="977">
        <v>1</v>
      </c>
      <c r="Q11" s="977">
        <v>2</v>
      </c>
      <c r="R11" s="977">
        <v>3</v>
      </c>
      <c r="S11" s="977">
        <v>4</v>
      </c>
      <c r="T11" s="977">
        <v>1</v>
      </c>
      <c r="U11" s="977">
        <v>2</v>
      </c>
      <c r="V11" s="977">
        <v>3</v>
      </c>
      <c r="W11" s="977">
        <v>4</v>
      </c>
      <c r="X11" s="977">
        <v>1</v>
      </c>
      <c r="Y11" s="977">
        <v>2</v>
      </c>
      <c r="Z11" s="977">
        <v>3</v>
      </c>
      <c r="AA11" s="977">
        <v>4</v>
      </c>
      <c r="AB11" s="977">
        <v>1</v>
      </c>
      <c r="AC11" s="977">
        <v>2</v>
      </c>
      <c r="AD11" s="977">
        <v>3</v>
      </c>
      <c r="AE11" s="977">
        <v>4</v>
      </c>
      <c r="AF11" s="977">
        <v>5</v>
      </c>
      <c r="AG11" s="977">
        <v>6</v>
      </c>
      <c r="AH11" s="977">
        <v>7</v>
      </c>
      <c r="AI11" s="977">
        <v>8</v>
      </c>
      <c r="AJ11" s="977">
        <v>9</v>
      </c>
      <c r="AK11" s="977">
        <v>10</v>
      </c>
      <c r="AL11" s="977">
        <v>11</v>
      </c>
      <c r="AM11" s="977">
        <v>12</v>
      </c>
      <c r="AN11" s="977">
        <v>13</v>
      </c>
      <c r="AO11" s="977">
        <v>14</v>
      </c>
      <c r="AP11" s="977">
        <v>15</v>
      </c>
      <c r="AQ11" s="977">
        <v>16</v>
      </c>
      <c r="AR11" s="977">
        <v>17</v>
      </c>
      <c r="AS11" s="977">
        <v>18</v>
      </c>
      <c r="AT11" s="977">
        <v>19</v>
      </c>
      <c r="AU11" s="977">
        <v>20</v>
      </c>
      <c r="AV11" s="977">
        <v>21</v>
      </c>
      <c r="AW11" s="977">
        <v>22</v>
      </c>
      <c r="AX11" s="977">
        <v>23</v>
      </c>
      <c r="AY11" s="977">
        <v>24</v>
      </c>
      <c r="AZ11" s="977">
        <v>25</v>
      </c>
      <c r="BA11" s="977">
        <v>26</v>
      </c>
      <c r="BB11" s="977">
        <v>27</v>
      </c>
      <c r="BC11" s="977">
        <v>28</v>
      </c>
      <c r="BD11" s="977">
        <v>29</v>
      </c>
      <c r="BE11" s="977">
        <v>30</v>
      </c>
      <c r="BF11" s="977">
        <v>31</v>
      </c>
      <c r="BG11" s="977">
        <v>32</v>
      </c>
      <c r="BH11" s="977">
        <v>33</v>
      </c>
      <c r="BI11" s="977">
        <v>34</v>
      </c>
      <c r="BJ11" s="977">
        <v>35</v>
      </c>
      <c r="BK11" s="977">
        <v>36</v>
      </c>
      <c r="BL11" s="977">
        <v>37</v>
      </c>
      <c r="BM11" s="977">
        <v>38</v>
      </c>
      <c r="BN11" s="977">
        <v>39</v>
      </c>
      <c r="BO11" s="977">
        <v>40</v>
      </c>
      <c r="BP11" s="977">
        <v>41</v>
      </c>
      <c r="BQ11" s="977">
        <v>42</v>
      </c>
      <c r="BR11" s="977">
        <v>43</v>
      </c>
      <c r="BS11" s="977">
        <v>44</v>
      </c>
      <c r="BT11" s="977">
        <v>45</v>
      </c>
      <c r="BU11" s="977">
        <v>46</v>
      </c>
      <c r="BV11" s="977">
        <v>47</v>
      </c>
      <c r="BW11" s="977">
        <v>48</v>
      </c>
      <c r="BX11" s="977">
        <v>49</v>
      </c>
      <c r="BY11" s="977">
        <v>50</v>
      </c>
      <c r="BZ11" s="977">
        <v>51</v>
      </c>
      <c r="CA11" s="977">
        <v>52</v>
      </c>
      <c r="CB11" s="977">
        <v>53</v>
      </c>
      <c r="CC11" s="977">
        <v>54</v>
      </c>
      <c r="CD11" s="977">
        <v>55</v>
      </c>
      <c r="CE11" s="977">
        <v>56</v>
      </c>
      <c r="CF11" s="977">
        <v>57</v>
      </c>
      <c r="CG11" s="977">
        <v>58</v>
      </c>
      <c r="CH11" s="977">
        <v>59</v>
      </c>
      <c r="CI11" s="977">
        <v>60</v>
      </c>
      <c r="CJ11" s="977">
        <v>61</v>
      </c>
      <c r="CK11" s="977">
        <v>62</v>
      </c>
      <c r="CL11" s="977">
        <v>63</v>
      </c>
      <c r="CM11" s="977">
        <v>64</v>
      </c>
      <c r="CN11" s="977">
        <v>65</v>
      </c>
      <c r="CO11" s="977">
        <v>66</v>
      </c>
      <c r="CP11" s="977">
        <v>67</v>
      </c>
      <c r="CQ11" s="977">
        <v>68</v>
      </c>
      <c r="CR11" s="977">
        <v>69</v>
      </c>
      <c r="CS11" s="977">
        <v>70</v>
      </c>
      <c r="CT11" s="977">
        <v>71</v>
      </c>
      <c r="CU11" s="977">
        <v>72</v>
      </c>
      <c r="CV11" s="977">
        <v>73</v>
      </c>
      <c r="CW11" s="977">
        <v>74</v>
      </c>
      <c r="CX11" s="977">
        <v>75</v>
      </c>
      <c r="CY11" s="977">
        <v>76</v>
      </c>
      <c r="CZ11" s="977">
        <v>77</v>
      </c>
      <c r="DA11" s="977">
        <v>78</v>
      </c>
      <c r="DB11" s="977">
        <v>79</v>
      </c>
      <c r="DC11" s="977">
        <v>80</v>
      </c>
      <c r="DD11" s="977">
        <v>81</v>
      </c>
      <c r="DE11" s="977">
        <v>82</v>
      </c>
      <c r="DF11" s="977">
        <v>83</v>
      </c>
      <c r="DG11" s="977">
        <v>84</v>
      </c>
      <c r="DH11" s="977">
        <v>85</v>
      </c>
      <c r="DI11" s="977">
        <v>86</v>
      </c>
      <c r="DJ11" s="977">
        <v>87</v>
      </c>
      <c r="DK11" s="977">
        <v>88</v>
      </c>
      <c r="DL11" s="977">
        <v>89</v>
      </c>
      <c r="DM11" s="977">
        <v>90</v>
      </c>
      <c r="DN11" s="977">
        <v>91</v>
      </c>
      <c r="DO11" s="977">
        <v>92</v>
      </c>
      <c r="DP11" s="977">
        <v>93</v>
      </c>
      <c r="DQ11" s="977">
        <v>94</v>
      </c>
      <c r="DR11" s="977">
        <v>95</v>
      </c>
      <c r="DS11" s="977">
        <v>96</v>
      </c>
      <c r="DT11" s="977">
        <v>89</v>
      </c>
      <c r="DU11" s="977">
        <v>90</v>
      </c>
      <c r="DV11" s="977">
        <v>91</v>
      </c>
      <c r="DW11" s="977">
        <v>92</v>
      </c>
      <c r="DX11" s="977">
        <v>89</v>
      </c>
      <c r="DY11" s="977">
        <v>90</v>
      </c>
      <c r="DZ11" s="977">
        <v>91</v>
      </c>
      <c r="EA11" s="977">
        <v>92</v>
      </c>
      <c r="EB11" s="977">
        <v>89</v>
      </c>
      <c r="EC11" s="977">
        <v>90</v>
      </c>
      <c r="ED11" s="977">
        <v>91</v>
      </c>
      <c r="EE11" s="977">
        <v>92</v>
      </c>
      <c r="EF11" s="977">
        <v>89</v>
      </c>
      <c r="EG11" s="977">
        <v>90</v>
      </c>
      <c r="EH11" s="977">
        <v>91</v>
      </c>
      <c r="EI11" s="977">
        <v>92</v>
      </c>
      <c r="EN11" s="2863"/>
      <c r="EO11" s="2864"/>
      <c r="EP11" s="978"/>
    </row>
    <row r="12" spans="1:151">
      <c r="A12" s="2827">
        <v>1</v>
      </c>
      <c r="B12" s="2849" t="s">
        <v>142</v>
      </c>
      <c r="C12" s="2850"/>
      <c r="D12" s="2851"/>
      <c r="E12" s="979"/>
      <c r="F12" s="2839">
        <f>EQ13</f>
        <v>229374.23</v>
      </c>
      <c r="G12" s="2846">
        <f>F12</f>
        <v>229374.23</v>
      </c>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c r="AU12" s="979"/>
      <c r="AV12" s="979"/>
      <c r="AW12" s="979"/>
      <c r="AX12" s="979"/>
      <c r="AY12" s="979"/>
      <c r="AZ12" s="979"/>
      <c r="BA12" s="979"/>
      <c r="BB12" s="979"/>
      <c r="BC12" s="979"/>
      <c r="BD12" s="979"/>
      <c r="BE12" s="979"/>
      <c r="BF12" s="979"/>
      <c r="BG12" s="979"/>
      <c r="BH12" s="979"/>
      <c r="BI12" s="979"/>
      <c r="BJ12" s="979"/>
      <c r="BK12" s="979"/>
      <c r="BL12" s="979"/>
      <c r="BM12" s="979"/>
      <c r="BN12" s="979"/>
      <c r="BO12" s="979"/>
      <c r="BP12" s="979"/>
      <c r="BQ12" s="979"/>
      <c r="BR12" s="979"/>
      <c r="BS12" s="979"/>
      <c r="BT12" s="979"/>
      <c r="BU12" s="979"/>
      <c r="BV12" s="979"/>
      <c r="BW12" s="979"/>
      <c r="BX12" s="979"/>
      <c r="BY12" s="979"/>
      <c r="BZ12" s="979"/>
      <c r="CA12" s="979"/>
      <c r="CB12" s="979"/>
      <c r="CC12" s="979"/>
      <c r="CD12" s="979"/>
      <c r="CE12" s="979"/>
      <c r="CF12" s="979"/>
      <c r="CG12" s="979"/>
      <c r="CH12" s="979"/>
      <c r="CI12" s="979"/>
      <c r="CJ12" s="979"/>
      <c r="CK12" s="979"/>
      <c r="CL12" s="979"/>
      <c r="CM12" s="979"/>
      <c r="CN12" s="979"/>
      <c r="CO12" s="979"/>
      <c r="CP12" s="979"/>
      <c r="CQ12" s="979"/>
      <c r="CR12" s="979"/>
      <c r="CS12" s="979"/>
      <c r="CT12" s="979"/>
      <c r="CU12" s="979"/>
      <c r="CV12" s="979"/>
      <c r="CW12" s="979"/>
      <c r="CX12" s="979"/>
      <c r="CY12" s="979"/>
      <c r="CZ12" s="979"/>
      <c r="DA12" s="979"/>
      <c r="DB12" s="979"/>
      <c r="DC12" s="979"/>
      <c r="DD12" s="979"/>
      <c r="DE12" s="979"/>
      <c r="DF12" s="979"/>
      <c r="DG12" s="979"/>
      <c r="DH12" s="979"/>
      <c r="DI12" s="979"/>
      <c r="DJ12" s="979"/>
      <c r="DK12" s="1391"/>
      <c r="DL12" s="979"/>
      <c r="DM12" s="979"/>
      <c r="DN12" s="979"/>
      <c r="DO12" s="979"/>
      <c r="DP12" s="979"/>
      <c r="DQ12" s="979"/>
      <c r="DR12" s="979"/>
      <c r="DS12" s="979"/>
      <c r="DT12" s="979"/>
      <c r="DU12" s="979"/>
      <c r="DV12" s="979"/>
      <c r="DW12" s="979"/>
      <c r="DX12" s="979"/>
      <c r="DY12" s="979"/>
      <c r="DZ12" s="979"/>
      <c r="EA12" s="979"/>
      <c r="EB12" s="979"/>
      <c r="EC12" s="979"/>
      <c r="ED12" s="979"/>
      <c r="EE12" s="979"/>
      <c r="EF12" s="979"/>
      <c r="EG12" s="979"/>
      <c r="EH12" s="979"/>
      <c r="EI12" s="979"/>
      <c r="EJ12" s="979"/>
      <c r="EK12" s="979"/>
      <c r="EL12" s="979"/>
      <c r="EM12" s="979"/>
      <c r="EN12" s="2858"/>
      <c r="EO12" s="2859"/>
    </row>
    <row r="13" spans="1:151">
      <c r="A13" s="2828"/>
      <c r="B13" s="2852"/>
      <c r="C13" s="2853"/>
      <c r="D13" s="2854"/>
      <c r="E13" s="980" t="s">
        <v>683</v>
      </c>
      <c r="F13" s="2840"/>
      <c r="G13" s="2847"/>
      <c r="H13" s="2753">
        <f>IF(H14="","",H14/$G12)</f>
        <v>0.27996283627851304</v>
      </c>
      <c r="I13" s="2754"/>
      <c r="J13" s="2754"/>
      <c r="K13" s="2755"/>
      <c r="L13" s="2753" t="str">
        <f t="shared" ref="L13" si="0">IF(L14="","",L14/$G12)</f>
        <v/>
      </c>
      <c r="M13" s="2754"/>
      <c r="N13" s="2754"/>
      <c r="O13" s="2755"/>
      <c r="P13" s="2753" t="str">
        <f t="shared" ref="P13" si="1">IF(P14="","",P14/$G12)</f>
        <v/>
      </c>
      <c r="Q13" s="2754"/>
      <c r="R13" s="2754"/>
      <c r="S13" s="2755"/>
      <c r="T13" s="2753" t="str">
        <f t="shared" ref="T13" si="2">IF(T14="","",T14/$G12)</f>
        <v/>
      </c>
      <c r="U13" s="2754"/>
      <c r="V13" s="2754"/>
      <c r="W13" s="2755"/>
      <c r="X13" s="2753" t="str">
        <f t="shared" ref="X13" si="3">IF(X14="","",X14/$G12)</f>
        <v/>
      </c>
      <c r="Y13" s="2754"/>
      <c r="Z13" s="2754"/>
      <c r="AA13" s="2755"/>
      <c r="AB13" s="2753" t="str">
        <f t="shared" ref="AB13" si="4">IF(AB14="","",AB14/$G12)</f>
        <v/>
      </c>
      <c r="AC13" s="2754"/>
      <c r="AD13" s="2754"/>
      <c r="AE13" s="2755"/>
      <c r="AF13" s="2753">
        <f t="shared" ref="AF13" si="5">IF(AF14="","",AF14/$G12)</f>
        <v>3.681320259908883E-2</v>
      </c>
      <c r="AG13" s="2754"/>
      <c r="AH13" s="2754"/>
      <c r="AI13" s="2755"/>
      <c r="AJ13" s="2753" t="str">
        <f t="shared" ref="AJ13" si="6">IF(AJ14="","",AJ14/$G12)</f>
        <v/>
      </c>
      <c r="AK13" s="2754"/>
      <c r="AL13" s="2754"/>
      <c r="AM13" s="2755"/>
      <c r="AN13" s="2753" t="str">
        <f t="shared" ref="AN13" si="7">IF(AN14="","",AN14/$G12)</f>
        <v/>
      </c>
      <c r="AO13" s="2754"/>
      <c r="AP13" s="2754"/>
      <c r="AQ13" s="2755"/>
      <c r="AR13" s="2753" t="str">
        <f t="shared" ref="AR13" si="8">IF(AR14="","",AR14/$G12)</f>
        <v/>
      </c>
      <c r="AS13" s="2754"/>
      <c r="AT13" s="2754"/>
      <c r="AU13" s="2755"/>
      <c r="AV13" s="2753" t="str">
        <f t="shared" ref="AV13" si="9">IF(AV14="","",AV14/$G12)</f>
        <v/>
      </c>
      <c r="AW13" s="2754"/>
      <c r="AX13" s="2754"/>
      <c r="AY13" s="2755"/>
      <c r="AZ13" s="2753">
        <f t="shared" ref="AZ13" si="10">IF(AZ14="","",AZ14/$G12)</f>
        <v>0.43156365037170913</v>
      </c>
      <c r="BA13" s="2754"/>
      <c r="BB13" s="2754"/>
      <c r="BC13" s="2755"/>
      <c r="BD13" s="2753" t="str">
        <f t="shared" ref="BD13" si="11">IF(BD14="","",BD14/$G12)</f>
        <v/>
      </c>
      <c r="BE13" s="2754"/>
      <c r="BF13" s="2754"/>
      <c r="BG13" s="2755"/>
      <c r="BH13" s="2753" t="str">
        <f t="shared" ref="BH13" si="12">IF(BH14="","",BH14/$G12)</f>
        <v/>
      </c>
      <c r="BI13" s="2754"/>
      <c r="BJ13" s="2754"/>
      <c r="BK13" s="2755"/>
      <c r="BL13" s="2753" t="str">
        <f t="shared" ref="BL13" si="13">IF(BL14="","",BL14/$G12)</f>
        <v/>
      </c>
      <c r="BM13" s="2754"/>
      <c r="BN13" s="2754"/>
      <c r="BO13" s="2755"/>
      <c r="BP13" s="2753" t="str">
        <f t="shared" ref="BP13" si="14">IF(BP14="","",BP14/$G12)</f>
        <v/>
      </c>
      <c r="BQ13" s="2754"/>
      <c r="BR13" s="2754"/>
      <c r="BS13" s="2755"/>
      <c r="BT13" s="2753" t="str">
        <f t="shared" ref="BT13" si="15">IF(BT14="","",BT14/$G12)</f>
        <v/>
      </c>
      <c r="BU13" s="2754"/>
      <c r="BV13" s="2754"/>
      <c r="BW13" s="2755"/>
      <c r="BX13" s="2753" t="str">
        <f t="shared" ref="BX13" si="16">IF(BX14="","",BX14/$G12)</f>
        <v/>
      </c>
      <c r="BY13" s="2754"/>
      <c r="BZ13" s="2754"/>
      <c r="CA13" s="2755"/>
      <c r="CB13" s="2753" t="str">
        <f t="shared" ref="CB13" si="17">IF(CB14="","",CB14/$G12)</f>
        <v/>
      </c>
      <c r="CC13" s="2754"/>
      <c r="CD13" s="2754"/>
      <c r="CE13" s="2755"/>
      <c r="CF13" s="2753" t="str">
        <f t="shared" ref="CF13" si="18">IF(CF14="","",CF14/$G12)</f>
        <v/>
      </c>
      <c r="CG13" s="2754"/>
      <c r="CH13" s="2754"/>
      <c r="CI13" s="2755"/>
      <c r="CJ13" s="1133" t="str">
        <f t="shared" ref="CJ13" si="19">IF(CJ14="","",CJ14/$G12)</f>
        <v/>
      </c>
      <c r="CK13" s="1134"/>
      <c r="CL13" s="1134"/>
      <c r="CM13" s="1135"/>
      <c r="CN13" s="2768">
        <f t="shared" ref="CN13" si="20">IF(CN14="","",CN14/$G12)</f>
        <v>0.24763339804999018</v>
      </c>
      <c r="CO13" s="2769"/>
      <c r="CP13" s="2769"/>
      <c r="CQ13" s="2770"/>
      <c r="CR13" s="2765" t="str">
        <f t="shared" ref="CR13" si="21">IF(CR14="","",CR14/$G12)</f>
        <v/>
      </c>
      <c r="CS13" s="2766"/>
      <c r="CT13" s="2766"/>
      <c r="CU13" s="2767"/>
      <c r="CV13" s="2771" t="str">
        <f t="shared" ref="CV13" si="22">IF(CV14="","",CV14/$G12)</f>
        <v/>
      </c>
      <c r="CW13" s="2772"/>
      <c r="CX13" s="2772"/>
      <c r="CY13" s="2773"/>
      <c r="CZ13" s="2753" t="str">
        <f t="shared" ref="CZ13" si="23">IF(CZ14="","",CZ14/$G12)</f>
        <v/>
      </c>
      <c r="DA13" s="2754"/>
      <c r="DB13" s="2754"/>
      <c r="DC13" s="2755"/>
      <c r="DD13" s="2753" t="str">
        <f t="shared" ref="DD13" si="24">IF(DD14="","",DD14/$G12)</f>
        <v/>
      </c>
      <c r="DE13" s="2754"/>
      <c r="DF13" s="2754"/>
      <c r="DG13" s="2755"/>
      <c r="DH13" s="1320" t="str">
        <f t="shared" ref="DH13" si="25">IF(DH14="","",DH14/$G12)</f>
        <v/>
      </c>
      <c r="DI13" s="1320"/>
      <c r="DJ13" s="1320"/>
      <c r="DK13" s="1320"/>
      <c r="DL13" s="2768" t="str">
        <f t="shared" ref="DL13" si="26">IF(DL14="","",DL14/$G12)</f>
        <v/>
      </c>
      <c r="DM13" s="2769"/>
      <c r="DN13" s="2769"/>
      <c r="DO13" s="2770"/>
      <c r="DP13" s="1417" t="s">
        <v>540</v>
      </c>
      <c r="DQ13" s="1417"/>
      <c r="DR13" s="1417"/>
      <c r="DS13" s="1417"/>
      <c r="DT13" s="2768" t="str">
        <f t="shared" ref="DT13" si="27">IF(DT14="","",DT14/$G12)</f>
        <v/>
      </c>
      <c r="DU13" s="2769"/>
      <c r="DV13" s="2769"/>
      <c r="DW13" s="2770"/>
      <c r="DX13" s="2774" t="str">
        <f t="shared" ref="DX13" si="28">IF(DX14="","",DX14/$G12)</f>
        <v/>
      </c>
      <c r="DY13" s="2775"/>
      <c r="DZ13" s="2775"/>
      <c r="EA13" s="2776"/>
      <c r="EB13" s="2774" t="str">
        <f t="shared" ref="EB13" si="29">IF(EB14="","",EB14/$G12)</f>
        <v/>
      </c>
      <c r="EC13" s="2775"/>
      <c r="ED13" s="2775"/>
      <c r="EE13" s="2776"/>
      <c r="EF13" s="2774"/>
      <c r="EG13" s="2775"/>
      <c r="EH13" s="2775"/>
      <c r="EI13" s="2776"/>
      <c r="EJ13" s="2774">
        <f t="shared" ref="EJ13" si="30">IF(EJ14="","",EJ14/$G12)</f>
        <v>4.026912700698766E-3</v>
      </c>
      <c r="EK13" s="2775"/>
      <c r="EL13" s="2775"/>
      <c r="EM13" s="2776"/>
      <c r="EN13" s="2842">
        <f>EN14/F12</f>
        <v>0.99597308729930134</v>
      </c>
      <c r="EO13" s="2826"/>
      <c r="EP13" s="978"/>
      <c r="EQ13">
        <v>229374.23</v>
      </c>
    </row>
    <row r="14" spans="1:151">
      <c r="A14" s="2829"/>
      <c r="B14" s="2855"/>
      <c r="C14" s="2856"/>
      <c r="D14" s="2857"/>
      <c r="E14" s="979" t="s">
        <v>684</v>
      </c>
      <c r="F14" s="2841"/>
      <c r="G14" s="2848"/>
      <c r="H14" s="2759">
        <v>64216.26</v>
      </c>
      <c r="I14" s="2760"/>
      <c r="J14" s="2760"/>
      <c r="K14" s="2761"/>
      <c r="L14" s="2798"/>
      <c r="M14" s="2799"/>
      <c r="N14" s="2799"/>
      <c r="O14" s="2800"/>
      <c r="P14" s="2798"/>
      <c r="Q14" s="2799"/>
      <c r="R14" s="2799"/>
      <c r="S14" s="2800"/>
      <c r="T14" s="2762"/>
      <c r="U14" s="2763"/>
      <c r="V14" s="2763"/>
      <c r="W14" s="2764"/>
      <c r="X14" s="2798"/>
      <c r="Y14" s="2799"/>
      <c r="Z14" s="2799"/>
      <c r="AA14" s="2800"/>
      <c r="AB14" s="2798"/>
      <c r="AC14" s="2799"/>
      <c r="AD14" s="2799"/>
      <c r="AE14" s="2800"/>
      <c r="AF14" s="2798">
        <v>8444</v>
      </c>
      <c r="AG14" s="2799"/>
      <c r="AH14" s="2799"/>
      <c r="AI14" s="2800"/>
      <c r="AJ14" s="2798"/>
      <c r="AK14" s="2799"/>
      <c r="AL14" s="2799"/>
      <c r="AM14" s="2800"/>
      <c r="AN14" s="2798"/>
      <c r="AO14" s="2799"/>
      <c r="AP14" s="2799"/>
      <c r="AQ14" s="2800"/>
      <c r="AR14" s="2798"/>
      <c r="AS14" s="2799"/>
      <c r="AT14" s="2799"/>
      <c r="AU14" s="2800"/>
      <c r="AV14" s="2798"/>
      <c r="AW14" s="2799"/>
      <c r="AX14" s="2799"/>
      <c r="AY14" s="2800"/>
      <c r="AZ14" s="2759">
        <v>98989.58</v>
      </c>
      <c r="BA14" s="2760"/>
      <c r="BB14" s="2760"/>
      <c r="BC14" s="2761"/>
      <c r="BD14" s="2798"/>
      <c r="BE14" s="2799"/>
      <c r="BF14" s="2799"/>
      <c r="BG14" s="2800"/>
      <c r="BH14" s="2798"/>
      <c r="BI14" s="2799"/>
      <c r="BJ14" s="2799"/>
      <c r="BK14" s="2800"/>
      <c r="BL14" s="2798"/>
      <c r="BM14" s="2799"/>
      <c r="BN14" s="2799"/>
      <c r="BO14" s="2800"/>
      <c r="BP14" s="2798"/>
      <c r="BQ14" s="2799"/>
      <c r="BR14" s="2799"/>
      <c r="BS14" s="2800"/>
      <c r="BT14" s="2798"/>
      <c r="BU14" s="2799"/>
      <c r="BV14" s="2799"/>
      <c r="BW14" s="2800"/>
      <c r="BX14" s="2798"/>
      <c r="BY14" s="2799"/>
      <c r="BZ14" s="2799"/>
      <c r="CA14" s="2800"/>
      <c r="CB14" s="2798"/>
      <c r="CC14" s="2799"/>
      <c r="CD14" s="2799"/>
      <c r="CE14" s="2800"/>
      <c r="CF14" s="2798"/>
      <c r="CG14" s="2799"/>
      <c r="CH14" s="2799"/>
      <c r="CI14" s="2800"/>
      <c r="CJ14" s="992"/>
      <c r="CK14" s="993"/>
      <c r="CL14" s="993"/>
      <c r="CM14" s="994"/>
      <c r="CN14" s="2795">
        <v>56800.72</v>
      </c>
      <c r="CO14" s="2796"/>
      <c r="CP14" s="2796"/>
      <c r="CQ14" s="2797"/>
      <c r="CR14" s="2809"/>
      <c r="CS14" s="2893"/>
      <c r="CT14" s="2893"/>
      <c r="CU14" s="2894"/>
      <c r="CV14" s="2804"/>
      <c r="CW14" s="2805"/>
      <c r="CX14" s="2805"/>
      <c r="CY14" s="2806"/>
      <c r="CZ14" s="2762"/>
      <c r="DA14" s="2763"/>
      <c r="DB14" s="2763"/>
      <c r="DC14" s="2764"/>
      <c r="DD14" s="2762"/>
      <c r="DE14" s="2763"/>
      <c r="DF14" s="2763"/>
      <c r="DG14" s="2764"/>
      <c r="DH14" s="1319"/>
      <c r="DI14" s="1319"/>
      <c r="DJ14" s="1319"/>
      <c r="DK14" s="1319"/>
      <c r="DL14" s="2759"/>
      <c r="DM14" s="2760"/>
      <c r="DN14" s="2760"/>
      <c r="DO14" s="2761"/>
      <c r="DP14" s="1317"/>
      <c r="DQ14" s="1317"/>
      <c r="DR14" s="1317"/>
      <c r="DS14" s="1317"/>
      <c r="DT14" s="2759"/>
      <c r="DU14" s="2760"/>
      <c r="DV14" s="2760"/>
      <c r="DW14" s="2761"/>
      <c r="DX14" s="2777"/>
      <c r="DY14" s="2778"/>
      <c r="DZ14" s="2778"/>
      <c r="EA14" s="2779"/>
      <c r="EB14" s="2777"/>
      <c r="EC14" s="2778"/>
      <c r="ED14" s="2778"/>
      <c r="EE14" s="2779"/>
      <c r="EF14" s="2777"/>
      <c r="EG14" s="2778"/>
      <c r="EH14" s="2778"/>
      <c r="EI14" s="2779"/>
      <c r="EJ14" s="2777">
        <v>923.67</v>
      </c>
      <c r="EK14" s="2778"/>
      <c r="EL14" s="2778"/>
      <c r="EM14" s="2779"/>
      <c r="EN14" s="2825">
        <f>SUM(H14:DW14)</f>
        <v>228450.56000000003</v>
      </c>
      <c r="EO14" s="2826"/>
      <c r="ER14" s="978">
        <f>SUM(H14:DW14)</f>
        <v>228450.56000000003</v>
      </c>
      <c r="ES14" s="978">
        <f>IF(ER14="","",F12-ER14)</f>
        <v>923.6699999999837</v>
      </c>
      <c r="ET14" s="978">
        <f>SUM(H14:EM14)</f>
        <v>229374.23000000004</v>
      </c>
      <c r="EU14" t="str">
        <f>IF(ES14="","",IF(ET14=F12,"",F12-ET14))</f>
        <v/>
      </c>
    </row>
    <row r="15" spans="1:151" ht="15" customHeight="1">
      <c r="A15" s="2827">
        <v>2</v>
      </c>
      <c r="B15" s="2830" t="s">
        <v>153</v>
      </c>
      <c r="C15" s="2831"/>
      <c r="D15" s="2832"/>
      <c r="E15" s="979"/>
      <c r="F15" s="2839">
        <f>EQ16</f>
        <v>158575.72</v>
      </c>
      <c r="G15" s="2846">
        <f t="shared" ref="G15" si="31">F15</f>
        <v>158575.72</v>
      </c>
      <c r="H15" s="979"/>
      <c r="I15" s="979"/>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c r="AT15" s="979"/>
      <c r="AU15" s="979"/>
      <c r="AV15" s="979"/>
      <c r="AW15" s="979"/>
      <c r="AX15" s="979"/>
      <c r="AY15" s="979"/>
      <c r="AZ15" s="979"/>
      <c r="BA15" s="979"/>
      <c r="BB15" s="979"/>
      <c r="BC15" s="979"/>
      <c r="BD15" s="979"/>
      <c r="BE15" s="979"/>
      <c r="BF15" s="979"/>
      <c r="BG15" s="979"/>
      <c r="BH15" s="979"/>
      <c r="BI15" s="979"/>
      <c r="BJ15" s="979"/>
      <c r="BK15" s="979"/>
      <c r="BL15" s="979"/>
      <c r="BM15" s="979"/>
      <c r="BN15" s="979"/>
      <c r="BO15" s="979"/>
      <c r="BP15" s="979"/>
      <c r="BQ15" s="979"/>
      <c r="BR15" s="979"/>
      <c r="BS15" s="979"/>
      <c r="BT15" s="979"/>
      <c r="BU15" s="979"/>
      <c r="BV15" s="979"/>
      <c r="BW15" s="979"/>
      <c r="BX15" s="979"/>
      <c r="BY15" s="979"/>
      <c r="BZ15" s="979"/>
      <c r="CA15" s="979"/>
      <c r="CB15" s="979"/>
      <c r="CC15" s="979"/>
      <c r="CD15" s="979"/>
      <c r="CE15" s="979"/>
      <c r="CF15" s="979"/>
      <c r="CG15" s="979"/>
      <c r="CH15" s="979"/>
      <c r="CI15" s="979"/>
      <c r="CJ15" s="979"/>
      <c r="CK15" s="979"/>
      <c r="CL15" s="979"/>
      <c r="CM15" s="979"/>
      <c r="CN15" s="979"/>
      <c r="CO15" s="979"/>
      <c r="CP15" s="979"/>
      <c r="CQ15" s="979"/>
      <c r="CR15" s="979"/>
      <c r="CS15" s="979"/>
      <c r="CT15" s="979"/>
      <c r="CU15" s="979"/>
      <c r="CV15" s="979"/>
      <c r="CW15" s="979"/>
      <c r="CX15" s="979"/>
      <c r="CY15" s="979"/>
      <c r="CZ15" s="979"/>
      <c r="DA15" s="979"/>
      <c r="DB15" s="979"/>
      <c r="DC15" s="979"/>
      <c r="DD15" s="979"/>
      <c r="DE15" s="979"/>
      <c r="DF15" s="979"/>
      <c r="DG15" s="979"/>
      <c r="DH15" s="979"/>
      <c r="DI15" s="979"/>
      <c r="DJ15" s="979"/>
      <c r="DK15" s="1391"/>
      <c r="DL15" s="979"/>
      <c r="DM15" s="979"/>
      <c r="DN15" s="979"/>
      <c r="DO15" s="979"/>
      <c r="DP15" s="979"/>
      <c r="DQ15" s="979"/>
      <c r="DR15" s="979"/>
      <c r="DS15" s="979"/>
      <c r="DT15" s="979"/>
      <c r="DU15" s="979"/>
      <c r="DV15" s="979"/>
      <c r="DW15" s="979"/>
      <c r="DX15" s="1393"/>
      <c r="DY15" s="1393"/>
      <c r="DZ15" s="1393"/>
      <c r="EA15" s="1393"/>
      <c r="EB15" s="1392"/>
      <c r="EC15" s="1392"/>
      <c r="ED15" s="1392"/>
      <c r="EE15" s="1392"/>
      <c r="EF15" s="1392"/>
      <c r="EG15" s="1392"/>
      <c r="EH15" s="1392"/>
      <c r="EI15" s="1392"/>
      <c r="EJ15" s="1392"/>
      <c r="EK15" s="1392"/>
      <c r="EL15" s="1392"/>
      <c r="EM15" s="1392"/>
      <c r="EN15" s="2825"/>
      <c r="EO15" s="2826"/>
    </row>
    <row r="16" spans="1:151">
      <c r="A16" s="2828"/>
      <c r="B16" s="2833"/>
      <c r="C16" s="2834"/>
      <c r="D16" s="2835"/>
      <c r="E16" s="980" t="s">
        <v>683</v>
      </c>
      <c r="F16" s="2840"/>
      <c r="G16" s="2847"/>
      <c r="H16" s="2753">
        <f>IF(H17="","",H17/$G15)</f>
        <v>3.087029969026784E-2</v>
      </c>
      <c r="I16" s="2754"/>
      <c r="J16" s="2754"/>
      <c r="K16" s="2755"/>
      <c r="L16" s="2753">
        <f t="shared" ref="L16" si="32">IF(L17="","",L17/$G15)</f>
        <v>2.1078321447949282E-2</v>
      </c>
      <c r="M16" s="2754"/>
      <c r="N16" s="2754"/>
      <c r="O16" s="2755"/>
      <c r="P16" s="2753">
        <f t="shared" ref="P16" si="33">IF(P17="","",P17/$G15)</f>
        <v>3.2294792670656013E-2</v>
      </c>
      <c r="Q16" s="2754"/>
      <c r="R16" s="2754"/>
      <c r="S16" s="2755"/>
      <c r="T16" s="2753">
        <f t="shared" ref="T16" si="34">IF(T17="","",T17/$G15)</f>
        <v>2.6686557059302649E-2</v>
      </c>
      <c r="U16" s="2754"/>
      <c r="V16" s="2754"/>
      <c r="W16" s="2755"/>
      <c r="X16" s="2753">
        <f t="shared" ref="X16" si="35">IF(X17="","",X17/$G15)</f>
        <v>2.6686557059302649E-2</v>
      </c>
      <c r="Y16" s="2754"/>
      <c r="Z16" s="2754"/>
      <c r="AA16" s="2755"/>
      <c r="AB16" s="2753">
        <f t="shared" ref="AB16" si="36">IF(AB17="","",AB17/$G15)</f>
        <v>2.6686557059302649E-2</v>
      </c>
      <c r="AC16" s="2754"/>
      <c r="AD16" s="2754"/>
      <c r="AE16" s="2755"/>
      <c r="AF16" s="2753">
        <f t="shared" ref="AF16" si="37">IF(AF17="","",AF17/$G15)</f>
        <v>1.6011972072395447E-2</v>
      </c>
      <c r="AG16" s="2754"/>
      <c r="AH16" s="2754"/>
      <c r="AI16" s="2755"/>
      <c r="AJ16" s="2753" t="str">
        <f t="shared" ref="AJ16" si="38">IF(AJ17="","",AJ17/$G15)</f>
        <v/>
      </c>
      <c r="AK16" s="2754"/>
      <c r="AL16" s="2754"/>
      <c r="AM16" s="2755"/>
      <c r="AN16" s="2753" t="str">
        <f t="shared" ref="AN16" si="39">IF(AN17="","",AN17/$G15)</f>
        <v/>
      </c>
      <c r="AO16" s="2754"/>
      <c r="AP16" s="2754"/>
      <c r="AQ16" s="2755"/>
      <c r="AR16" s="2753" t="str">
        <f t="shared" ref="AR16" si="40">IF(AR17="","",AR17/$G15)</f>
        <v/>
      </c>
      <c r="AS16" s="2754"/>
      <c r="AT16" s="2754"/>
      <c r="AU16" s="2755"/>
      <c r="AV16" s="2753" t="str">
        <f t="shared" ref="AV16" si="41">IF(AV17="","",AV17/$G15)</f>
        <v/>
      </c>
      <c r="AW16" s="2754"/>
      <c r="AX16" s="2754"/>
      <c r="AY16" s="2755"/>
      <c r="AZ16" s="2753">
        <f t="shared" ref="AZ16" si="42">IF(AZ17="","",AZ17/$G15)</f>
        <v>0.21605445020208641</v>
      </c>
      <c r="BA16" s="2754"/>
      <c r="BB16" s="2754"/>
      <c r="BC16" s="2755"/>
      <c r="BD16" s="2753">
        <f t="shared" ref="BD16" si="43">IF(BD17="","",BD17/$G15)</f>
        <v>2.6686557059302649E-2</v>
      </c>
      <c r="BE16" s="2754"/>
      <c r="BF16" s="2754"/>
      <c r="BG16" s="2755"/>
      <c r="BH16" s="2753">
        <f t="shared" ref="BH16" si="44">IF(BH17="","",BH17/$G15)</f>
        <v>2.6686557059302649E-2</v>
      </c>
      <c r="BI16" s="2754"/>
      <c r="BJ16" s="2754"/>
      <c r="BK16" s="2755"/>
      <c r="BL16" s="2753">
        <f t="shared" ref="BL16" si="45">IF(BL17="","",BL17/$G15)</f>
        <v>2.6686557059302649E-2</v>
      </c>
      <c r="BM16" s="2754"/>
      <c r="BN16" s="2754"/>
      <c r="BO16" s="2755"/>
      <c r="BP16" s="2753">
        <f t="shared" ref="BP16" si="46">IF(BP17="","",BP17/$G15)</f>
        <v>2.6686557059302649E-2</v>
      </c>
      <c r="BQ16" s="2754"/>
      <c r="BR16" s="2754"/>
      <c r="BS16" s="2755"/>
      <c r="BT16" s="2753">
        <f t="shared" ref="BT16" si="47">IF(BT17="","",BT17/$G15)</f>
        <v>2.6686557059302649E-2</v>
      </c>
      <c r="BU16" s="2754"/>
      <c r="BV16" s="2754"/>
      <c r="BW16" s="2755"/>
      <c r="BX16" s="2753">
        <f t="shared" ref="BX16" si="48">IF(BX17="","",BX17/$G15)</f>
        <v>2.6686557059302649E-2</v>
      </c>
      <c r="BY16" s="2754"/>
      <c r="BZ16" s="2754"/>
      <c r="CA16" s="2755"/>
      <c r="CB16" s="2753">
        <f t="shared" ref="CB16" si="49">IF(CB17="","",CB17/$G15)</f>
        <v>2.1111870089569829E-2</v>
      </c>
      <c r="CC16" s="2754"/>
      <c r="CD16" s="2754"/>
      <c r="CE16" s="2755"/>
      <c r="CF16" s="2753">
        <f t="shared" ref="CF16" si="50">IF(CF17="","",CF17/$G15)</f>
        <v>6.1412301958963201E-3</v>
      </c>
      <c r="CG16" s="2754"/>
      <c r="CH16" s="2754"/>
      <c r="CI16" s="2755"/>
      <c r="CJ16" s="2753">
        <f t="shared" ref="CJ16" si="51">IF(CJ17="","",CJ17/$G15)</f>
        <v>6.1412301958963201E-3</v>
      </c>
      <c r="CK16" s="2754"/>
      <c r="CL16" s="2754"/>
      <c r="CM16" s="2755"/>
      <c r="CN16" s="2768">
        <f t="shared" ref="CN16" si="52">IF(CN17="","",CN17/$G15)</f>
        <v>0.13071370572998189</v>
      </c>
      <c r="CO16" s="2769"/>
      <c r="CP16" s="2769"/>
      <c r="CQ16" s="2770"/>
      <c r="CR16" s="2765">
        <f t="shared" ref="CR16" si="53">IF(CR17="","",CR17/$G15)</f>
        <v>2.6686557059302649E-2</v>
      </c>
      <c r="CS16" s="2766"/>
      <c r="CT16" s="2766"/>
      <c r="CU16" s="2767"/>
      <c r="CV16" s="2771">
        <f t="shared" ref="CV16" si="54">IF(CV17="","",CV17/$G15)</f>
        <v>1.8468464150753976E-2</v>
      </c>
      <c r="CW16" s="2772"/>
      <c r="CX16" s="2772"/>
      <c r="CY16" s="2773"/>
      <c r="CZ16" s="2753">
        <f t="shared" ref="CZ16" si="55">IF(CZ17="","",CZ17/$G15)</f>
        <v>1.8468464150753976E-2</v>
      </c>
      <c r="DA16" s="2754"/>
      <c r="DB16" s="2754"/>
      <c r="DC16" s="2755"/>
      <c r="DD16" s="2753">
        <f t="shared" ref="DD16" si="56">IF(DD17="","",DD17/$G15)</f>
        <v>1.8468464150753976E-2</v>
      </c>
      <c r="DE16" s="2754"/>
      <c r="DF16" s="2754"/>
      <c r="DG16" s="2755"/>
      <c r="DH16" s="2753">
        <f t="shared" ref="DH16" si="57">IF(DH17="","",DH17/$G15)</f>
        <v>1.8468464150753976E-2</v>
      </c>
      <c r="DI16" s="2754"/>
      <c r="DJ16" s="2754"/>
      <c r="DK16" s="2755"/>
      <c r="DL16" s="2768">
        <f t="shared" ref="DL16" si="58">IF(DL17="","",DL17/$G15)</f>
        <v>5.955892869349734E-2</v>
      </c>
      <c r="DM16" s="2769"/>
      <c r="DN16" s="2769"/>
      <c r="DO16" s="2770"/>
      <c r="DP16" s="2768">
        <f t="shared" ref="DP16" si="59">IF(DP17="","",DP17/$G15)</f>
        <v>2.6686557059302649E-2</v>
      </c>
      <c r="DQ16" s="2769"/>
      <c r="DR16" s="2769"/>
      <c r="DS16" s="2770"/>
      <c r="DT16" s="2768">
        <f t="shared" ref="DT16" si="60">IF(DT17="","",DT17/$G15)</f>
        <v>5.704309587873857E-2</v>
      </c>
      <c r="DU16" s="2769"/>
      <c r="DV16" s="2769"/>
      <c r="DW16" s="2770"/>
      <c r="DX16" s="2783">
        <f t="shared" ref="DX16" si="61">IF(DX17="","",DX17/$G15)</f>
        <v>8.8885297194300113E-3</v>
      </c>
      <c r="DY16" s="2784"/>
      <c r="DZ16" s="2784"/>
      <c r="EA16" s="2785"/>
      <c r="EB16" s="2774">
        <f t="shared" ref="EB16" si="62">IF(EB17="","",EB17/$G15)</f>
        <v>8.8885297194300113E-3</v>
      </c>
      <c r="EC16" s="2775"/>
      <c r="ED16" s="2775"/>
      <c r="EE16" s="2776"/>
      <c r="EF16" s="2774">
        <f t="shared" ref="EF16" si="63">IF(EF17="","",EF17/$G15)</f>
        <v>8.8885297194300113E-3</v>
      </c>
      <c r="EG16" s="2775"/>
      <c r="EH16" s="2775"/>
      <c r="EI16" s="2776"/>
      <c r="EJ16" s="2774">
        <f t="shared" ref="EJ16" si="64">IF(EJ17="","",EJ17/$G15)</f>
        <v>8.8885297194300113E-3</v>
      </c>
      <c r="EK16" s="2775"/>
      <c r="EL16" s="2775"/>
      <c r="EM16" s="2776"/>
      <c r="EN16" s="2842">
        <f>EN17/F15</f>
        <v>0.96444588112227991</v>
      </c>
      <c r="EO16" s="2826"/>
      <c r="EP16" s="981"/>
      <c r="EQ16">
        <v>158575.72</v>
      </c>
    </row>
    <row r="17" spans="1:151">
      <c r="A17" s="2829"/>
      <c r="B17" s="2836"/>
      <c r="C17" s="2837"/>
      <c r="D17" s="2838"/>
      <c r="E17" s="979" t="s">
        <v>684</v>
      </c>
      <c r="F17" s="2841"/>
      <c r="G17" s="2848"/>
      <c r="H17" s="2759">
        <v>4895.28</v>
      </c>
      <c r="I17" s="2760"/>
      <c r="J17" s="2760"/>
      <c r="K17" s="2761"/>
      <c r="L17" s="2759">
        <v>3342.51</v>
      </c>
      <c r="M17" s="2760"/>
      <c r="N17" s="2760"/>
      <c r="O17" s="2761"/>
      <c r="P17" s="2759">
        <v>5121.17</v>
      </c>
      <c r="Q17" s="2760"/>
      <c r="R17" s="2760"/>
      <c r="S17" s="2761"/>
      <c r="T17" s="2759">
        <v>4231.84</v>
      </c>
      <c r="U17" s="2760"/>
      <c r="V17" s="2760"/>
      <c r="W17" s="2761"/>
      <c r="X17" s="2759">
        <v>4231.84</v>
      </c>
      <c r="Y17" s="2760"/>
      <c r="Z17" s="2760"/>
      <c r="AA17" s="2761"/>
      <c r="AB17" s="2759">
        <v>4231.84</v>
      </c>
      <c r="AC17" s="2760"/>
      <c r="AD17" s="2760"/>
      <c r="AE17" s="2761"/>
      <c r="AF17" s="2759">
        <v>2539.11</v>
      </c>
      <c r="AG17" s="2760"/>
      <c r="AH17" s="2760"/>
      <c r="AI17" s="2761"/>
      <c r="AJ17" s="2762"/>
      <c r="AK17" s="2763"/>
      <c r="AL17" s="2763"/>
      <c r="AM17" s="2764"/>
      <c r="AN17" s="2798"/>
      <c r="AO17" s="2799"/>
      <c r="AP17" s="2799"/>
      <c r="AQ17" s="2800"/>
      <c r="AR17" s="2798"/>
      <c r="AS17" s="2799"/>
      <c r="AT17" s="2799"/>
      <c r="AU17" s="2800"/>
      <c r="AV17" s="2798"/>
      <c r="AW17" s="2799"/>
      <c r="AX17" s="2799"/>
      <c r="AY17" s="2800"/>
      <c r="AZ17" s="2759">
        <v>34260.99</v>
      </c>
      <c r="BA17" s="2760"/>
      <c r="BB17" s="2760"/>
      <c r="BC17" s="2761"/>
      <c r="BD17" s="2759">
        <v>4231.84</v>
      </c>
      <c r="BE17" s="2760"/>
      <c r="BF17" s="2760"/>
      <c r="BG17" s="2761"/>
      <c r="BH17" s="2759">
        <v>4231.84</v>
      </c>
      <c r="BI17" s="2760"/>
      <c r="BJ17" s="2760"/>
      <c r="BK17" s="2761"/>
      <c r="BL17" s="2759">
        <v>4231.84</v>
      </c>
      <c r="BM17" s="2760"/>
      <c r="BN17" s="2760"/>
      <c r="BO17" s="2761"/>
      <c r="BP17" s="2759">
        <v>4231.84</v>
      </c>
      <c r="BQ17" s="2760"/>
      <c r="BR17" s="2760"/>
      <c r="BS17" s="2761"/>
      <c r="BT17" s="2759">
        <v>4231.84</v>
      </c>
      <c r="BU17" s="2760"/>
      <c r="BV17" s="2760"/>
      <c r="BW17" s="2761"/>
      <c r="BX17" s="2759">
        <v>4231.84</v>
      </c>
      <c r="BY17" s="2760"/>
      <c r="BZ17" s="2760"/>
      <c r="CA17" s="2761"/>
      <c r="CB17" s="2759">
        <f>'[43]11 - FINANCEIRA'!O24</f>
        <v>3347.83</v>
      </c>
      <c r="CC17" s="2760"/>
      <c r="CD17" s="2760"/>
      <c r="CE17" s="2761"/>
      <c r="CF17" s="2759">
        <v>973.85</v>
      </c>
      <c r="CG17" s="2760"/>
      <c r="CH17" s="2760"/>
      <c r="CI17" s="2761"/>
      <c r="CJ17" s="2759">
        <v>973.85</v>
      </c>
      <c r="CK17" s="2760"/>
      <c r="CL17" s="2760"/>
      <c r="CM17" s="2761"/>
      <c r="CN17" s="2759">
        <v>20728.020000000004</v>
      </c>
      <c r="CO17" s="2760"/>
      <c r="CP17" s="2760"/>
      <c r="CQ17" s="2761"/>
      <c r="CR17" s="2759">
        <v>4231.84</v>
      </c>
      <c r="CS17" s="2760"/>
      <c r="CT17" s="2760"/>
      <c r="CU17" s="2761"/>
      <c r="CV17" s="2759">
        <v>2928.65</v>
      </c>
      <c r="CW17" s="2760"/>
      <c r="CX17" s="2760"/>
      <c r="CY17" s="2761"/>
      <c r="CZ17" s="2759">
        <f>CV17</f>
        <v>2928.65</v>
      </c>
      <c r="DA17" s="2760"/>
      <c r="DB17" s="2760"/>
      <c r="DC17" s="2761"/>
      <c r="DD17" s="2759">
        <f>CZ17</f>
        <v>2928.65</v>
      </c>
      <c r="DE17" s="2760"/>
      <c r="DF17" s="2760"/>
      <c r="DG17" s="2761"/>
      <c r="DH17" s="2759">
        <f>DD17</f>
        <v>2928.65</v>
      </c>
      <c r="DI17" s="2760"/>
      <c r="DJ17" s="2760"/>
      <c r="DK17" s="2760"/>
      <c r="DL17" s="2759">
        <v>9444.6</v>
      </c>
      <c r="DM17" s="2760"/>
      <c r="DN17" s="2760"/>
      <c r="DO17" s="2761"/>
      <c r="DP17" s="2759">
        <v>4231.84</v>
      </c>
      <c r="DQ17" s="2760"/>
      <c r="DR17" s="2760"/>
      <c r="DS17" s="2761"/>
      <c r="DT17" s="2759">
        <f>('11 - FINANCEIRA'!AA24)</f>
        <v>9045.6500000000015</v>
      </c>
      <c r="DU17" s="2760"/>
      <c r="DV17" s="2760"/>
      <c r="DW17" s="2761"/>
      <c r="DX17" s="2786">
        <f>$ES17/4</f>
        <v>1409.5050000000119</v>
      </c>
      <c r="DY17" s="2787"/>
      <c r="DZ17" s="2787"/>
      <c r="EA17" s="2788"/>
      <c r="EB17" s="2777">
        <f t="shared" ref="EB17" si="65">$ES17/4</f>
        <v>1409.5050000000119</v>
      </c>
      <c r="EC17" s="2778"/>
      <c r="ED17" s="2778"/>
      <c r="EE17" s="2779"/>
      <c r="EF17" s="2777">
        <f t="shared" ref="EF17" si="66">$ES17/4</f>
        <v>1409.5050000000119</v>
      </c>
      <c r="EG17" s="2778"/>
      <c r="EH17" s="2778"/>
      <c r="EI17" s="2779"/>
      <c r="EJ17" s="2777">
        <f t="shared" ref="EJ17" si="67">$ES17/4</f>
        <v>1409.5050000000119</v>
      </c>
      <c r="EK17" s="2778"/>
      <c r="EL17" s="2778"/>
      <c r="EM17" s="2779"/>
      <c r="EN17" s="2825">
        <f>SUM(H17:DW17)</f>
        <v>152937.69999999995</v>
      </c>
      <c r="EO17" s="2826"/>
      <c r="EP17" s="978"/>
      <c r="ER17" s="978">
        <f>SUM(H17:DW17)</f>
        <v>152937.69999999995</v>
      </c>
      <c r="ES17" s="978">
        <f t="shared" ref="ES17:ES53" si="68">IF(ER17="","",F15-ER17)</f>
        <v>5638.0200000000477</v>
      </c>
      <c r="ET17" s="978">
        <f>SUM(H17:EM17)</f>
        <v>158575.71999999997</v>
      </c>
      <c r="EU17" t="str">
        <f t="shared" ref="EU17:EU53" si="69">IF(ES17="","",IF(ET17=F15,"",F15-ET17))</f>
        <v/>
      </c>
    </row>
    <row r="18" spans="1:151" ht="15" customHeight="1">
      <c r="A18" s="2827">
        <v>3</v>
      </c>
      <c r="B18" s="2830" t="s">
        <v>685</v>
      </c>
      <c r="C18" s="2831"/>
      <c r="D18" s="2832"/>
      <c r="E18" s="979"/>
      <c r="F18" s="2839">
        <f>EQ19</f>
        <v>1804554.6</v>
      </c>
      <c r="G18" s="2846">
        <f t="shared" ref="G18" si="70">F18</f>
        <v>1804554.6</v>
      </c>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c r="AL18" s="979"/>
      <c r="AM18" s="979"/>
      <c r="AN18" s="979"/>
      <c r="AO18" s="979"/>
      <c r="AP18" s="979"/>
      <c r="AQ18" s="979"/>
      <c r="AR18" s="979"/>
      <c r="AS18" s="979"/>
      <c r="AT18" s="979"/>
      <c r="AU18" s="979"/>
      <c r="AV18" s="979"/>
      <c r="AW18" s="979"/>
      <c r="AX18" s="979"/>
      <c r="AY18" s="979"/>
      <c r="AZ18" s="979"/>
      <c r="BA18" s="979"/>
      <c r="BB18" s="979"/>
      <c r="BC18" s="979"/>
      <c r="BD18" s="979"/>
      <c r="BE18" s="979"/>
      <c r="BF18" s="979"/>
      <c r="BG18" s="979"/>
      <c r="BH18" s="979"/>
      <c r="BI18" s="979"/>
      <c r="BJ18" s="979"/>
      <c r="BK18" s="979"/>
      <c r="BL18" s="979"/>
      <c r="BM18" s="979"/>
      <c r="BN18" s="979"/>
      <c r="BO18" s="979"/>
      <c r="BP18" s="979"/>
      <c r="BQ18" s="979"/>
      <c r="BR18" s="979"/>
      <c r="BS18" s="979"/>
      <c r="BT18" s="979"/>
      <c r="BU18" s="979"/>
      <c r="BV18" s="979"/>
      <c r="BW18" s="979"/>
      <c r="BX18" s="979"/>
      <c r="BY18" s="979"/>
      <c r="BZ18" s="979"/>
      <c r="CA18" s="979"/>
      <c r="CB18" s="979"/>
      <c r="CC18" s="979"/>
      <c r="CD18" s="979"/>
      <c r="CE18" s="979"/>
      <c r="CF18" s="979"/>
      <c r="CG18" s="979"/>
      <c r="CH18" s="979"/>
      <c r="CI18" s="979"/>
      <c r="CJ18" s="979"/>
      <c r="CK18" s="979"/>
      <c r="CL18" s="979"/>
      <c r="CM18" s="979"/>
      <c r="CN18" s="979"/>
      <c r="CO18" s="979"/>
      <c r="CP18" s="979"/>
      <c r="CQ18" s="979"/>
      <c r="CR18" s="979"/>
      <c r="CS18" s="979"/>
      <c r="CT18" s="979"/>
      <c r="CU18" s="979"/>
      <c r="CV18" s="979"/>
      <c r="CW18" s="979"/>
      <c r="CX18" s="979"/>
      <c r="CY18" s="979"/>
      <c r="CZ18" s="979"/>
      <c r="DA18" s="979"/>
      <c r="DB18" s="979"/>
      <c r="DC18" s="979"/>
      <c r="DD18" s="979"/>
      <c r="DE18" s="979"/>
      <c r="DF18" s="979"/>
      <c r="DG18" s="979"/>
      <c r="DH18" s="979"/>
      <c r="DI18" s="979"/>
      <c r="DJ18" s="979"/>
      <c r="DK18" s="1391"/>
      <c r="DL18" s="979"/>
      <c r="DM18" s="979"/>
      <c r="DN18" s="979"/>
      <c r="DO18" s="979"/>
      <c r="DP18" s="979"/>
      <c r="DQ18" s="979"/>
      <c r="DR18" s="979"/>
      <c r="DS18" s="979"/>
      <c r="DT18" s="979"/>
      <c r="DU18" s="979"/>
      <c r="DV18" s="979"/>
      <c r="DW18" s="979"/>
      <c r="DX18" s="1393"/>
      <c r="DY18" s="1393"/>
      <c r="DZ18" s="1393"/>
      <c r="EA18" s="1393"/>
      <c r="EB18" s="1392"/>
      <c r="EC18" s="1392"/>
      <c r="ED18" s="1392"/>
      <c r="EE18" s="1392"/>
      <c r="EF18" s="1392"/>
      <c r="EG18" s="1392"/>
      <c r="EH18" s="1392"/>
      <c r="EI18" s="1392"/>
      <c r="EJ18" s="1392"/>
      <c r="EK18" s="1392"/>
      <c r="EL18" s="1392"/>
      <c r="EM18" s="1392"/>
      <c r="EN18" s="2825"/>
      <c r="EO18" s="2826"/>
      <c r="EP18" s="978"/>
      <c r="ES18" s="978" t="str">
        <f t="shared" si="68"/>
        <v/>
      </c>
      <c r="EU18" t="str">
        <f t="shared" si="69"/>
        <v/>
      </c>
    </row>
    <row r="19" spans="1:151">
      <c r="A19" s="2828"/>
      <c r="B19" s="2833"/>
      <c r="C19" s="2834"/>
      <c r="D19" s="2835"/>
      <c r="E19" s="980" t="s">
        <v>683</v>
      </c>
      <c r="F19" s="2840"/>
      <c r="G19" s="2847"/>
      <c r="H19" s="2753" t="str">
        <f>IF(H20="","",H20/$G18)</f>
        <v/>
      </c>
      <c r="I19" s="2754"/>
      <c r="J19" s="2754"/>
      <c r="K19" s="2755"/>
      <c r="L19" s="2753" t="str">
        <f t="shared" ref="L19" si="71">IF(L20="","",L20/$G18)</f>
        <v/>
      </c>
      <c r="M19" s="2754"/>
      <c r="N19" s="2754"/>
      <c r="O19" s="2755"/>
      <c r="P19" s="2753" t="str">
        <f t="shared" ref="P19" si="72">IF(P20="","",P20/$G18)</f>
        <v/>
      </c>
      <c r="Q19" s="2754"/>
      <c r="R19" s="2754"/>
      <c r="S19" s="2755"/>
      <c r="T19" s="2753" t="str">
        <f t="shared" ref="T19" si="73">IF(T20="","",T20/$G18)</f>
        <v/>
      </c>
      <c r="U19" s="2754"/>
      <c r="V19" s="2754"/>
      <c r="W19" s="2755"/>
      <c r="X19" s="2753" t="str">
        <f t="shared" ref="X19" si="74">IF(X20="","",X20/$G18)</f>
        <v/>
      </c>
      <c r="Y19" s="2754"/>
      <c r="Z19" s="2754"/>
      <c r="AA19" s="2755"/>
      <c r="AB19" s="2753" t="str">
        <f t="shared" ref="AB19" si="75">IF(AB20="","",AB20/$G18)</f>
        <v/>
      </c>
      <c r="AC19" s="2754"/>
      <c r="AD19" s="2754"/>
      <c r="AE19" s="2755"/>
      <c r="AF19" s="2753" t="str">
        <f t="shared" ref="AF19" si="76">IF(AF20="","",AF20/$G18)</f>
        <v/>
      </c>
      <c r="AG19" s="2754"/>
      <c r="AH19" s="2754"/>
      <c r="AI19" s="2755"/>
      <c r="AJ19" s="2753">
        <f t="shared" ref="AJ19" si="77">IF(AJ20="","",AJ20/$G18)</f>
        <v>4.8988420743822321E-2</v>
      </c>
      <c r="AK19" s="2754"/>
      <c r="AL19" s="2754"/>
      <c r="AM19" s="2755"/>
      <c r="AN19" s="2753">
        <f t="shared" ref="AN19" si="78">IF(AN20="","",AN20/$G18)</f>
        <v>3.3129787261632314E-2</v>
      </c>
      <c r="AO19" s="2754"/>
      <c r="AP19" s="2754"/>
      <c r="AQ19" s="2755"/>
      <c r="AR19" s="2753">
        <f t="shared" ref="AR19" si="79">IF(AR20="","",AR20/$G18)</f>
        <v>5.6078990350305835E-2</v>
      </c>
      <c r="AS19" s="2754"/>
      <c r="AT19" s="2754"/>
      <c r="AU19" s="2755"/>
      <c r="AV19" s="2753">
        <f t="shared" ref="AV19" si="80">IF(AV20="","",AV20/$G18)</f>
        <v>1.7517009460395378E-2</v>
      </c>
      <c r="AW19" s="2754"/>
      <c r="AX19" s="2754"/>
      <c r="AY19" s="2755"/>
      <c r="AZ19" s="2753">
        <f t="shared" ref="AZ19" si="81">IF(AZ20="","",AZ20/$G18)</f>
        <v>6.434004823129208E-2</v>
      </c>
      <c r="BA19" s="2754"/>
      <c r="BB19" s="2754"/>
      <c r="BC19" s="2755"/>
      <c r="BD19" s="2753">
        <f t="shared" ref="BD19" si="82">IF(BD20="","",BD20/$G18)</f>
        <v>1.4852717673380455E-2</v>
      </c>
      <c r="BE19" s="2754"/>
      <c r="BF19" s="2754"/>
      <c r="BG19" s="2755"/>
      <c r="BH19" s="2753" t="str">
        <f t="shared" ref="BH19" si="83">IF(BH20="","",BH20/$G18)</f>
        <v/>
      </c>
      <c r="BI19" s="2754"/>
      <c r="BJ19" s="2754"/>
      <c r="BK19" s="2755"/>
      <c r="BL19" s="2753" t="str">
        <f t="shared" ref="BL19" si="84">IF(BL20="","",BL20/$G18)</f>
        <v/>
      </c>
      <c r="BM19" s="2754"/>
      <c r="BN19" s="2754"/>
      <c r="BO19" s="2755"/>
      <c r="BP19" s="2753" t="str">
        <f t="shared" ref="BP19" si="85">IF(BP20="","",BP20/$G18)</f>
        <v/>
      </c>
      <c r="BQ19" s="2754"/>
      <c r="BR19" s="2754"/>
      <c r="BS19" s="2755"/>
      <c r="BT19" s="2753" t="str">
        <f t="shared" ref="BT19" si="86">IF(BT20="","",BT20/$G18)</f>
        <v/>
      </c>
      <c r="BU19" s="2754"/>
      <c r="BV19" s="2754"/>
      <c r="BW19" s="2755"/>
      <c r="BX19" s="2753">
        <f t="shared" ref="BX19" si="87">IF(BX20="","",BX20/$G18)</f>
        <v>2.277058837676621E-2</v>
      </c>
      <c r="BY19" s="2754"/>
      <c r="BZ19" s="2754"/>
      <c r="CA19" s="2755"/>
      <c r="CB19" s="2753">
        <f t="shared" ref="CB19" si="88">IF(CB20="","",CB20/$G18)</f>
        <v>5.0754352348219333E-3</v>
      </c>
      <c r="CC19" s="2754"/>
      <c r="CD19" s="2754"/>
      <c r="CE19" s="2755"/>
      <c r="CF19" s="2753">
        <f t="shared" ref="CF19" si="89">IF(CF20="","",CF20/$G18)</f>
        <v>0.15609129809649427</v>
      </c>
      <c r="CG19" s="2754"/>
      <c r="CH19" s="2754"/>
      <c r="CI19" s="2755"/>
      <c r="CJ19" s="2753">
        <f t="shared" ref="CJ19" si="90">IF(CJ20="","",CJ20/$G18)</f>
        <v>2.2689144457031115E-3</v>
      </c>
      <c r="CK19" s="2754"/>
      <c r="CL19" s="2754"/>
      <c r="CM19" s="2755"/>
      <c r="CN19" s="2768">
        <f t="shared" ref="CN19" si="91">IF(CN20="","",CN20/$G18)</f>
        <v>8.1820472486673457E-2</v>
      </c>
      <c r="CO19" s="2769"/>
      <c r="CP19" s="2769"/>
      <c r="CQ19" s="2770"/>
      <c r="CR19" s="2765">
        <f t="shared" ref="CR19" si="92">IF(CR20="","",CR20/$G18)</f>
        <v>6.2981746299059053E-3</v>
      </c>
      <c r="CS19" s="2766"/>
      <c r="CT19" s="2766"/>
      <c r="CU19" s="2767"/>
      <c r="CV19" s="2771" t="str">
        <f t="shared" ref="CV19" si="93">IF(CV20="","",CV20/$G18)</f>
        <v/>
      </c>
      <c r="CW19" s="2772"/>
      <c r="CX19" s="2772"/>
      <c r="CY19" s="2773"/>
      <c r="CZ19" s="2753" t="str">
        <f t="shared" ref="CZ19" si="94">IF(CZ20="","",CZ20/$G18)</f>
        <v/>
      </c>
      <c r="DA19" s="2754"/>
      <c r="DB19" s="2754"/>
      <c r="DC19" s="2755"/>
      <c r="DD19" s="2753" t="str">
        <f t="shared" ref="DD19" si="95">IF(DD20="","",DD20/$G18)</f>
        <v/>
      </c>
      <c r="DE19" s="2754"/>
      <c r="DF19" s="2754"/>
      <c r="DG19" s="2755"/>
      <c r="DH19" s="1320" t="str">
        <f t="shared" ref="DH19" si="96">IF(DH20="","",DH20/$G18)</f>
        <v/>
      </c>
      <c r="DI19" s="1320"/>
      <c r="DJ19" s="1320"/>
      <c r="DK19" s="1320"/>
      <c r="DL19" s="2768">
        <f t="shared" ref="DL19" si="97">IF(DL20="","",DL20/$G18)</f>
        <v>2.6531810120901857E-3</v>
      </c>
      <c r="DM19" s="2769"/>
      <c r="DN19" s="2769"/>
      <c r="DO19" s="2770"/>
      <c r="DP19" s="2768">
        <f t="shared" ref="DP19" si="98">IF(DP20="","",DP20/$G18)</f>
        <v>1.4752809363595869E-2</v>
      </c>
      <c r="DQ19" s="2769"/>
      <c r="DR19" s="2769"/>
      <c r="DS19" s="2770"/>
      <c r="DT19" s="2768">
        <f t="shared" ref="DT19" si="99">IF(DT20="","",DT20/$G18)</f>
        <v>0.25273232519536953</v>
      </c>
      <c r="DU19" s="2769"/>
      <c r="DV19" s="2769"/>
      <c r="DW19" s="2770"/>
      <c r="DX19" s="2783">
        <f t="shared" ref="DX19" si="100">IF(DX20="","",DX20/$G18)</f>
        <v>5.5157456859437758E-2</v>
      </c>
      <c r="DY19" s="2784"/>
      <c r="DZ19" s="2784"/>
      <c r="EA19" s="2785"/>
      <c r="EB19" s="2774">
        <f t="shared" ref="EB19" si="101">IF(EB20="","",EB20/$G18)</f>
        <v>5.5157456859437758E-2</v>
      </c>
      <c r="EC19" s="2775"/>
      <c r="ED19" s="2775"/>
      <c r="EE19" s="2776"/>
      <c r="EF19" s="2774">
        <f t="shared" ref="EF19" si="102">IF(EF20="","",EF20/$G18)</f>
        <v>5.5157456859437758E-2</v>
      </c>
      <c r="EG19" s="2775"/>
      <c r="EH19" s="2775"/>
      <c r="EI19" s="2776"/>
      <c r="EJ19" s="2774">
        <f t="shared" ref="EJ19" si="103">IF(EJ20="","",EJ20/$G18)</f>
        <v>5.5157456859437758E-2</v>
      </c>
      <c r="EK19" s="2775"/>
      <c r="EL19" s="2775"/>
      <c r="EM19" s="2776"/>
      <c r="EN19" s="2842">
        <f>EN20/F18</f>
        <v>0.77937017256224894</v>
      </c>
      <c r="EO19" s="2826"/>
      <c r="EQ19">
        <v>1804554.6</v>
      </c>
      <c r="ES19" s="978" t="str">
        <f t="shared" si="68"/>
        <v/>
      </c>
      <c r="EU19" t="str">
        <f t="shared" si="69"/>
        <v/>
      </c>
    </row>
    <row r="20" spans="1:151">
      <c r="A20" s="2829"/>
      <c r="B20" s="2836"/>
      <c r="C20" s="2837"/>
      <c r="D20" s="2838"/>
      <c r="E20" s="979" t="s">
        <v>684</v>
      </c>
      <c r="F20" s="2841"/>
      <c r="G20" s="2848"/>
      <c r="H20" s="2798"/>
      <c r="I20" s="2799"/>
      <c r="J20" s="2799"/>
      <c r="K20" s="2800"/>
      <c r="L20" s="2798"/>
      <c r="M20" s="2799"/>
      <c r="N20" s="2799"/>
      <c r="O20" s="2800"/>
      <c r="P20" s="2798"/>
      <c r="Q20" s="2799"/>
      <c r="R20" s="2799"/>
      <c r="S20" s="2800"/>
      <c r="T20" s="2798"/>
      <c r="U20" s="2799"/>
      <c r="V20" s="2799"/>
      <c r="W20" s="2800"/>
      <c r="X20" s="2798"/>
      <c r="Y20" s="2799"/>
      <c r="Z20" s="2799"/>
      <c r="AA20" s="2800"/>
      <c r="AB20" s="2798"/>
      <c r="AC20" s="2799"/>
      <c r="AD20" s="2799"/>
      <c r="AE20" s="2800"/>
      <c r="AF20" s="2798"/>
      <c r="AG20" s="2799"/>
      <c r="AH20" s="2799"/>
      <c r="AI20" s="2800"/>
      <c r="AJ20" s="2759">
        <v>88402.28</v>
      </c>
      <c r="AK20" s="2760"/>
      <c r="AL20" s="2760"/>
      <c r="AM20" s="2761"/>
      <c r="AN20" s="2759">
        <v>59784.51</v>
      </c>
      <c r="AO20" s="2760"/>
      <c r="AP20" s="2760"/>
      <c r="AQ20" s="2761"/>
      <c r="AR20" s="2759">
        <v>101197.6</v>
      </c>
      <c r="AS20" s="2760"/>
      <c r="AT20" s="2760"/>
      <c r="AU20" s="2761"/>
      <c r="AV20" s="2759">
        <v>31610.400000000001</v>
      </c>
      <c r="AW20" s="2760"/>
      <c r="AX20" s="2760"/>
      <c r="AY20" s="2761"/>
      <c r="AZ20" s="2759">
        <v>116105.13</v>
      </c>
      <c r="BA20" s="2760"/>
      <c r="BB20" s="2760"/>
      <c r="BC20" s="2761"/>
      <c r="BD20" s="2759">
        <v>26802.54</v>
      </c>
      <c r="BE20" s="2760"/>
      <c r="BF20" s="2760"/>
      <c r="BG20" s="2761"/>
      <c r="BH20" s="2798"/>
      <c r="BI20" s="2799"/>
      <c r="BJ20" s="2799"/>
      <c r="BK20" s="2800"/>
      <c r="BL20" s="2798"/>
      <c r="BM20" s="2799"/>
      <c r="BN20" s="2799"/>
      <c r="BO20" s="2800"/>
      <c r="BP20" s="2798"/>
      <c r="BQ20" s="2799"/>
      <c r="BR20" s="2799"/>
      <c r="BS20" s="2800"/>
      <c r="BT20" s="2798"/>
      <c r="BU20" s="2799"/>
      <c r="BV20" s="2799"/>
      <c r="BW20" s="2800"/>
      <c r="BX20" s="2759">
        <v>41090.769999999997</v>
      </c>
      <c r="BY20" s="2760"/>
      <c r="BZ20" s="2760"/>
      <c r="CA20" s="2761"/>
      <c r="CB20" s="2759">
        <f>'[43]11 - FINANCEIRA'!O33</f>
        <v>9158.9</v>
      </c>
      <c r="CC20" s="2760"/>
      <c r="CD20" s="2760"/>
      <c r="CE20" s="2761"/>
      <c r="CF20" s="2759">
        <v>281675.27</v>
      </c>
      <c r="CG20" s="2760"/>
      <c r="CH20" s="2760"/>
      <c r="CI20" s="2761"/>
      <c r="CJ20" s="2759">
        <v>4094.38</v>
      </c>
      <c r="CK20" s="2760"/>
      <c r="CL20" s="2760"/>
      <c r="CM20" s="2761"/>
      <c r="CN20" s="2759">
        <v>147649.51000000004</v>
      </c>
      <c r="CO20" s="2760"/>
      <c r="CP20" s="2760"/>
      <c r="CQ20" s="2761"/>
      <c r="CR20" s="2759">
        <v>11365.4</v>
      </c>
      <c r="CS20" s="2760"/>
      <c r="CT20" s="2760"/>
      <c r="CU20" s="2761"/>
      <c r="CV20" s="1333"/>
      <c r="CW20" s="1334"/>
      <c r="CX20" s="1334"/>
      <c r="CY20" s="1335"/>
      <c r="CZ20" s="2762"/>
      <c r="DA20" s="2763"/>
      <c r="DB20" s="2763"/>
      <c r="DC20" s="2764"/>
      <c r="DD20" s="2762"/>
      <c r="DE20" s="2763"/>
      <c r="DF20" s="2763"/>
      <c r="DG20" s="2764"/>
      <c r="DH20" s="1319"/>
      <c r="DI20" s="1319"/>
      <c r="DJ20" s="1319"/>
      <c r="DK20" s="1319"/>
      <c r="DL20" s="2759">
        <v>4787.8100000000004</v>
      </c>
      <c r="DM20" s="2760"/>
      <c r="DN20" s="2760"/>
      <c r="DO20" s="2761"/>
      <c r="DP20" s="2759">
        <v>26622.25</v>
      </c>
      <c r="DQ20" s="2760"/>
      <c r="DR20" s="2760"/>
      <c r="DS20" s="2761"/>
      <c r="DT20" s="2759">
        <f>'11 - FINANCEIRA'!AA33</f>
        <v>456069.27999999997</v>
      </c>
      <c r="DU20" s="2760"/>
      <c r="DV20" s="2760"/>
      <c r="DW20" s="2761"/>
      <c r="DX20" s="2786">
        <f>$ES20/4</f>
        <v>99534.642499999958</v>
      </c>
      <c r="DY20" s="2787"/>
      <c r="DZ20" s="2787"/>
      <c r="EA20" s="2788"/>
      <c r="EB20" s="2777">
        <f t="shared" ref="EB20" si="104">$ES20/4</f>
        <v>99534.642499999958</v>
      </c>
      <c r="EC20" s="2778"/>
      <c r="ED20" s="2778"/>
      <c r="EE20" s="2779"/>
      <c r="EF20" s="2777">
        <f t="shared" ref="EF20" si="105">$ES20/4</f>
        <v>99534.642499999958</v>
      </c>
      <c r="EG20" s="2778"/>
      <c r="EH20" s="2778"/>
      <c r="EI20" s="2779"/>
      <c r="EJ20" s="2777">
        <f t="shared" ref="EJ20" si="106">$ES20/4</f>
        <v>99534.642499999958</v>
      </c>
      <c r="EK20" s="2778"/>
      <c r="EL20" s="2778"/>
      <c r="EM20" s="2779"/>
      <c r="EN20" s="2825">
        <f>SUM(H20:DW20)</f>
        <v>1406416.0300000003</v>
      </c>
      <c r="EO20" s="2826"/>
      <c r="ER20" s="978">
        <f>SUM(H20:DW20)</f>
        <v>1406416.0300000003</v>
      </c>
      <c r="ES20" s="978">
        <f t="shared" si="68"/>
        <v>398138.56999999983</v>
      </c>
      <c r="ET20" s="978">
        <f>SUM(H20:EM20)</f>
        <v>1804554.6000000006</v>
      </c>
      <c r="EU20" t="str">
        <f t="shared" si="69"/>
        <v/>
      </c>
    </row>
    <row r="21" spans="1:151" ht="15" customHeight="1">
      <c r="A21" s="2827">
        <v>4</v>
      </c>
      <c r="B21" s="2830" t="s">
        <v>686</v>
      </c>
      <c r="C21" s="2831"/>
      <c r="D21" s="2832"/>
      <c r="E21" s="979"/>
      <c r="F21" s="2839">
        <f>EQ22</f>
        <v>8239.0499999999993</v>
      </c>
      <c r="G21" s="2846">
        <f t="shared" ref="G21" si="107">F21</f>
        <v>8239.0499999999993</v>
      </c>
      <c r="H21" s="979"/>
      <c r="I21" s="979"/>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c r="AT21" s="979"/>
      <c r="AU21" s="979"/>
      <c r="AV21" s="979"/>
      <c r="AW21" s="979"/>
      <c r="AX21" s="979"/>
      <c r="AY21" s="979"/>
      <c r="AZ21" s="979"/>
      <c r="BA21" s="979"/>
      <c r="BB21" s="979"/>
      <c r="BC21" s="979"/>
      <c r="BD21" s="979"/>
      <c r="BE21" s="979"/>
      <c r="BF21" s="979"/>
      <c r="BG21" s="979"/>
      <c r="BH21" s="979"/>
      <c r="BI21" s="979"/>
      <c r="BJ21" s="979"/>
      <c r="BK21" s="979"/>
      <c r="BL21" s="979"/>
      <c r="BM21" s="979"/>
      <c r="BN21" s="979"/>
      <c r="BO21" s="979"/>
      <c r="BP21" s="979"/>
      <c r="BQ21" s="979"/>
      <c r="BR21" s="979"/>
      <c r="BS21" s="979"/>
      <c r="BT21" s="979"/>
      <c r="BU21" s="979"/>
      <c r="BV21" s="979"/>
      <c r="BW21" s="979"/>
      <c r="BX21" s="979"/>
      <c r="BY21" s="979"/>
      <c r="BZ21" s="979"/>
      <c r="CA21" s="979"/>
      <c r="CB21" s="979"/>
      <c r="CC21" s="979"/>
      <c r="CD21" s="979"/>
      <c r="CE21" s="979"/>
      <c r="CF21" s="979"/>
      <c r="CG21" s="979"/>
      <c r="CH21" s="979"/>
      <c r="CI21" s="979"/>
      <c r="CJ21" s="979"/>
      <c r="CK21" s="979"/>
      <c r="CL21" s="979"/>
      <c r="CM21" s="979"/>
      <c r="CN21" s="979"/>
      <c r="CO21" s="979"/>
      <c r="CP21" s="979"/>
      <c r="CQ21" s="979"/>
      <c r="CR21" s="979"/>
      <c r="CS21" s="979"/>
      <c r="CT21" s="979"/>
      <c r="CU21" s="979"/>
      <c r="CV21" s="979"/>
      <c r="CW21" s="979"/>
      <c r="CX21" s="979"/>
      <c r="CY21" s="979"/>
      <c r="CZ21" s="979"/>
      <c r="DA21" s="979"/>
      <c r="DB21" s="979"/>
      <c r="DC21" s="979"/>
      <c r="DD21" s="979"/>
      <c r="DE21" s="979"/>
      <c r="DF21" s="979"/>
      <c r="DG21" s="979"/>
      <c r="DH21" s="979"/>
      <c r="DI21" s="979"/>
      <c r="DJ21" s="979"/>
      <c r="DK21" s="1391"/>
      <c r="DL21" s="979"/>
      <c r="DM21" s="979"/>
      <c r="DN21" s="979"/>
      <c r="DO21" s="979"/>
      <c r="DP21" s="979"/>
      <c r="DQ21" s="979"/>
      <c r="DR21" s="979"/>
      <c r="DS21" s="979"/>
      <c r="DT21" s="979"/>
      <c r="DU21" s="979"/>
      <c r="DV21" s="979"/>
      <c r="DW21" s="979"/>
      <c r="DX21" s="1393"/>
      <c r="DY21" s="1393"/>
      <c r="DZ21" s="1393"/>
      <c r="EA21" s="1393"/>
      <c r="EB21" s="1392"/>
      <c r="EC21" s="1392"/>
      <c r="ED21" s="1392"/>
      <c r="EE21" s="1392"/>
      <c r="EF21" s="1392"/>
      <c r="EG21" s="1392"/>
      <c r="EH21" s="1392"/>
      <c r="EI21" s="1392"/>
      <c r="EJ21" s="1392"/>
      <c r="EK21" s="1392"/>
      <c r="EL21" s="1392"/>
      <c r="EM21" s="1392"/>
      <c r="EN21" s="2825"/>
      <c r="EO21" s="2826"/>
      <c r="EP21" s="978"/>
      <c r="ES21" s="978" t="str">
        <f t="shared" si="68"/>
        <v/>
      </c>
      <c r="EU21" t="str">
        <f t="shared" si="69"/>
        <v/>
      </c>
    </row>
    <row r="22" spans="1:151">
      <c r="A22" s="2828"/>
      <c r="B22" s="2833"/>
      <c r="C22" s="2834"/>
      <c r="D22" s="2835"/>
      <c r="E22" s="980" t="s">
        <v>683</v>
      </c>
      <c r="F22" s="2840"/>
      <c r="G22" s="2847"/>
      <c r="H22" s="2753" t="str">
        <f>IF(H23="","",H23/$G21)</f>
        <v/>
      </c>
      <c r="I22" s="2754"/>
      <c r="J22" s="2754"/>
      <c r="K22" s="2755"/>
      <c r="L22" s="2753" t="str">
        <f t="shared" ref="L22" si="108">IF(L23="","",L23/$G21)</f>
        <v/>
      </c>
      <c r="M22" s="2754"/>
      <c r="N22" s="2754"/>
      <c r="O22" s="2755"/>
      <c r="P22" s="2753" t="str">
        <f t="shared" ref="P22" si="109">IF(P23="","",P23/$G21)</f>
        <v/>
      </c>
      <c r="Q22" s="2754"/>
      <c r="R22" s="2754"/>
      <c r="S22" s="2755"/>
      <c r="T22" s="2753" t="str">
        <f t="shared" ref="T22" si="110">IF(T23="","",T23/$G21)</f>
        <v/>
      </c>
      <c r="U22" s="2754"/>
      <c r="V22" s="2754"/>
      <c r="W22" s="2755"/>
      <c r="X22" s="2753" t="str">
        <f t="shared" ref="X22" si="111">IF(X23="","",X23/$G21)</f>
        <v/>
      </c>
      <c r="Y22" s="2754"/>
      <c r="Z22" s="2754"/>
      <c r="AA22" s="2755"/>
      <c r="AB22" s="2753" t="str">
        <f t="shared" ref="AB22" si="112">IF(AB23="","",AB23/$G21)</f>
        <v/>
      </c>
      <c r="AC22" s="2754"/>
      <c r="AD22" s="2754"/>
      <c r="AE22" s="2755"/>
      <c r="AF22" s="2753" t="str">
        <f t="shared" ref="AF22" si="113">IF(AF23="","",AF23/$G21)</f>
        <v/>
      </c>
      <c r="AG22" s="2754"/>
      <c r="AH22" s="2754"/>
      <c r="AI22" s="2755"/>
      <c r="AJ22" s="2753">
        <f t="shared" ref="AJ22" si="114">IF(AJ23="","",AJ23/$G21)</f>
        <v>0.22222222222222227</v>
      </c>
      <c r="AK22" s="2754"/>
      <c r="AL22" s="2754"/>
      <c r="AM22" s="2755"/>
      <c r="AN22" s="2753" t="str">
        <f t="shared" ref="AN22" si="115">IF(AN23="","",AN23/$G21)</f>
        <v/>
      </c>
      <c r="AO22" s="2754"/>
      <c r="AP22" s="2754"/>
      <c r="AQ22" s="2755"/>
      <c r="AR22" s="2753" t="str">
        <f t="shared" ref="AR22" si="116">IF(AR23="","",AR23/$G21)</f>
        <v/>
      </c>
      <c r="AS22" s="2754"/>
      <c r="AT22" s="2754"/>
      <c r="AU22" s="2755"/>
      <c r="AV22" s="2753" t="str">
        <f t="shared" ref="AV22" si="117">IF(AV23="","",AV23/$G21)</f>
        <v/>
      </c>
      <c r="AW22" s="2754"/>
      <c r="AX22" s="2754"/>
      <c r="AY22" s="2755"/>
      <c r="AZ22" s="2753" t="str">
        <f t="shared" ref="AZ22" si="118">IF(AZ23="","",AZ23/$G21)</f>
        <v/>
      </c>
      <c r="BA22" s="2754"/>
      <c r="BB22" s="2754"/>
      <c r="BC22" s="2755"/>
      <c r="BD22" s="2753" t="str">
        <f t="shared" ref="BD22" si="119">IF(BD23="","",BD23/$G21)</f>
        <v/>
      </c>
      <c r="BE22" s="2754"/>
      <c r="BF22" s="2754"/>
      <c r="BG22" s="2755"/>
      <c r="BH22" s="2753" t="str">
        <f t="shared" ref="BH22" si="120">IF(BH23="","",BH23/$G21)</f>
        <v/>
      </c>
      <c r="BI22" s="2754"/>
      <c r="BJ22" s="2754"/>
      <c r="BK22" s="2755"/>
      <c r="BL22" s="2753" t="str">
        <f t="shared" ref="BL22" si="121">IF(BL23="","",BL23/$G21)</f>
        <v/>
      </c>
      <c r="BM22" s="2754"/>
      <c r="BN22" s="2754"/>
      <c r="BO22" s="2755"/>
      <c r="BP22" s="2753" t="str">
        <f t="shared" ref="BP22" si="122">IF(BP23="","",BP23/$G21)</f>
        <v/>
      </c>
      <c r="BQ22" s="2754"/>
      <c r="BR22" s="2754"/>
      <c r="BS22" s="2755"/>
      <c r="BT22" s="2753" t="str">
        <f t="shared" ref="BT22" si="123">IF(BT23="","",BT23/$G21)</f>
        <v/>
      </c>
      <c r="BU22" s="2754"/>
      <c r="BV22" s="2754"/>
      <c r="BW22" s="2755"/>
      <c r="BX22" s="2753" t="str">
        <f t="shared" ref="BX22" si="124">IF(BX23="","",BX23/$G21)</f>
        <v/>
      </c>
      <c r="BY22" s="2754"/>
      <c r="BZ22" s="2754"/>
      <c r="CA22" s="2755"/>
      <c r="CB22" s="2753" t="str">
        <f t="shared" ref="CB22" si="125">IF(CB23="","",CB23/$G21)</f>
        <v/>
      </c>
      <c r="CC22" s="2754"/>
      <c r="CD22" s="2754"/>
      <c r="CE22" s="2755"/>
      <c r="CF22" s="2753" t="str">
        <f t="shared" ref="CF22" si="126">IF(CF23="","",CF23/$G21)</f>
        <v/>
      </c>
      <c r="CG22" s="2754"/>
      <c r="CH22" s="2754"/>
      <c r="CI22" s="2755"/>
      <c r="CJ22" s="1133" t="str">
        <f t="shared" ref="CJ22" si="127">IF(CJ23="","",CJ23/$G21)</f>
        <v/>
      </c>
      <c r="CK22" s="1134"/>
      <c r="CL22" s="1134"/>
      <c r="CM22" s="1135"/>
      <c r="CN22" s="2768">
        <f t="shared" ref="CN22" si="128">IF(CN23="","",CN23/$G21)</f>
        <v>0.22222222222222227</v>
      </c>
      <c r="CO22" s="2769"/>
      <c r="CP22" s="2769"/>
      <c r="CQ22" s="2770"/>
      <c r="CR22" s="2765" t="str">
        <f t="shared" ref="CR22" si="129">IF(CR23="","",CR23/$G21)</f>
        <v/>
      </c>
      <c r="CS22" s="2766"/>
      <c r="CT22" s="2766"/>
      <c r="CU22" s="2767"/>
      <c r="CV22" s="2771">
        <f t="shared" ref="CV22" si="130">IF(CV23="","",CV23/$G21)</f>
        <v>0.22222222222222227</v>
      </c>
      <c r="CW22" s="2772"/>
      <c r="CX22" s="2772"/>
      <c r="CY22" s="2773"/>
      <c r="CZ22" s="2753" t="str">
        <f t="shared" ref="CZ22" si="131">IF(CZ23="","",CZ23/$G21)</f>
        <v/>
      </c>
      <c r="DA22" s="2754"/>
      <c r="DB22" s="2754"/>
      <c r="DC22" s="2755"/>
      <c r="DD22" s="2753" t="str">
        <f t="shared" ref="DD22" si="132">IF(DD23="","",DD23/$G21)</f>
        <v/>
      </c>
      <c r="DE22" s="2754"/>
      <c r="DF22" s="2754"/>
      <c r="DG22" s="2755"/>
      <c r="DH22" s="1320" t="str">
        <f t="shared" ref="DH22" si="133">IF(DH23="","",DH23/$G21)</f>
        <v/>
      </c>
      <c r="DI22" s="1320"/>
      <c r="DJ22" s="1320"/>
      <c r="DK22" s="1320"/>
      <c r="DL22" s="2768">
        <f t="shared" ref="DL22" si="134">IF(DL23="","",DL23/$G21)</f>
        <v>0.22222222222222227</v>
      </c>
      <c r="DM22" s="2769"/>
      <c r="DN22" s="2769"/>
      <c r="DO22" s="2770"/>
      <c r="DP22" s="2768">
        <f t="shared" ref="DP22" si="135">IF(DP23="","",DP23/$G21)</f>
        <v>0</v>
      </c>
      <c r="DQ22" s="2769"/>
      <c r="DR22" s="2769"/>
      <c r="DS22" s="2770"/>
      <c r="DT22" s="2768">
        <f t="shared" ref="DT22" si="136">IF(DT23="","",DT23/$G21)</f>
        <v>0.11111111111111113</v>
      </c>
      <c r="DU22" s="2769"/>
      <c r="DV22" s="2769"/>
      <c r="DW22" s="2770"/>
      <c r="DX22" s="2783">
        <f t="shared" ref="DX22" si="137">IF(DX23="","",DX23/$G21)</f>
        <v>-5.5194148704822055E-17</v>
      </c>
      <c r="DY22" s="2784"/>
      <c r="DZ22" s="2784"/>
      <c r="EA22" s="2785"/>
      <c r="EB22" s="2774">
        <f t="shared" ref="EB22" si="138">IF(EB23="","",EB23/$G21)</f>
        <v>-5.5194148704822055E-17</v>
      </c>
      <c r="EC22" s="2775"/>
      <c r="ED22" s="2775"/>
      <c r="EE22" s="2776"/>
      <c r="EF22" s="2774">
        <f t="shared" ref="EF22" si="139">IF(EF23="","",EF23/$G21)</f>
        <v>-5.5194148704822055E-17</v>
      </c>
      <c r="EG22" s="2775"/>
      <c r="EH22" s="2775"/>
      <c r="EI22" s="2776"/>
      <c r="EJ22" s="2774">
        <f t="shared" ref="EJ22" si="140">IF(EJ23="","",EJ23/$G21)</f>
        <v>-5.5194148704822055E-17</v>
      </c>
      <c r="EK22" s="2775"/>
      <c r="EL22" s="2775"/>
      <c r="EM22" s="2776"/>
      <c r="EN22" s="2842">
        <f>EN23/F21</f>
        <v>1.0000000000000002</v>
      </c>
      <c r="EO22" s="2826"/>
      <c r="EQ22">
        <v>8239.0499999999993</v>
      </c>
      <c r="ES22" s="978" t="str">
        <f t="shared" si="68"/>
        <v/>
      </c>
      <c r="EU22" t="str">
        <f t="shared" si="69"/>
        <v/>
      </c>
    </row>
    <row r="23" spans="1:151">
      <c r="A23" s="2829"/>
      <c r="B23" s="2836"/>
      <c r="C23" s="2837"/>
      <c r="D23" s="2838"/>
      <c r="E23" s="979" t="s">
        <v>684</v>
      </c>
      <c r="F23" s="2841"/>
      <c r="G23" s="2848"/>
      <c r="H23" s="2843"/>
      <c r="I23" s="2844"/>
      <c r="J23" s="2844"/>
      <c r="K23" s="2845"/>
      <c r="L23" s="2843"/>
      <c r="M23" s="2844"/>
      <c r="N23" s="2844"/>
      <c r="O23" s="2845"/>
      <c r="P23" s="2798"/>
      <c r="Q23" s="2799"/>
      <c r="R23" s="2799"/>
      <c r="S23" s="2800"/>
      <c r="T23" s="2798"/>
      <c r="U23" s="2799"/>
      <c r="V23" s="2799"/>
      <c r="W23" s="2800"/>
      <c r="X23" s="2798"/>
      <c r="Y23" s="2799"/>
      <c r="Z23" s="2799"/>
      <c r="AA23" s="2800"/>
      <c r="AB23" s="2798"/>
      <c r="AC23" s="2799"/>
      <c r="AD23" s="2799"/>
      <c r="AE23" s="2800"/>
      <c r="AF23" s="2798"/>
      <c r="AG23" s="2799"/>
      <c r="AH23" s="2799"/>
      <c r="AI23" s="2800"/>
      <c r="AJ23" s="2759">
        <v>1830.9</v>
      </c>
      <c r="AK23" s="2760"/>
      <c r="AL23" s="2760"/>
      <c r="AM23" s="2761"/>
      <c r="AN23" s="2798"/>
      <c r="AO23" s="2799"/>
      <c r="AP23" s="2799"/>
      <c r="AQ23" s="2800"/>
      <c r="AR23" s="2798"/>
      <c r="AS23" s="2799"/>
      <c r="AT23" s="2799"/>
      <c r="AU23" s="2800"/>
      <c r="AV23" s="2798"/>
      <c r="AW23" s="2799"/>
      <c r="AX23" s="2799"/>
      <c r="AY23" s="2800"/>
      <c r="AZ23" s="2798"/>
      <c r="BA23" s="2799"/>
      <c r="BB23" s="2799"/>
      <c r="BC23" s="2800"/>
      <c r="BD23" s="2798"/>
      <c r="BE23" s="2799"/>
      <c r="BF23" s="2799"/>
      <c r="BG23" s="2800"/>
      <c r="BH23" s="2798"/>
      <c r="BI23" s="2799"/>
      <c r="BJ23" s="2799"/>
      <c r="BK23" s="2800"/>
      <c r="BL23" s="2798"/>
      <c r="BM23" s="2799"/>
      <c r="BN23" s="2799"/>
      <c r="BO23" s="2800"/>
      <c r="BP23" s="2798"/>
      <c r="BQ23" s="2799"/>
      <c r="BR23" s="2799"/>
      <c r="BS23" s="2800"/>
      <c r="BT23" s="2798"/>
      <c r="BU23" s="2799"/>
      <c r="BV23" s="2799"/>
      <c r="BW23" s="2800"/>
      <c r="BX23" s="2798"/>
      <c r="BY23" s="2799"/>
      <c r="BZ23" s="2799"/>
      <c r="CA23" s="2800"/>
      <c r="CB23" s="2798"/>
      <c r="CC23" s="2799"/>
      <c r="CD23" s="2799"/>
      <c r="CE23" s="2800"/>
      <c r="CF23" s="2798"/>
      <c r="CG23" s="2799"/>
      <c r="CH23" s="2799"/>
      <c r="CI23" s="2800"/>
      <c r="CJ23" s="2798"/>
      <c r="CK23" s="2799"/>
      <c r="CL23" s="2799"/>
      <c r="CM23" s="2800"/>
      <c r="CN23" s="2759">
        <v>1830.9</v>
      </c>
      <c r="CO23" s="2760"/>
      <c r="CP23" s="2760"/>
      <c r="CQ23" s="2761"/>
      <c r="CR23" s="2798"/>
      <c r="CS23" s="2799"/>
      <c r="CT23" s="2799"/>
      <c r="CU23" s="2800"/>
      <c r="CV23" s="2759">
        <v>1830.9</v>
      </c>
      <c r="CW23" s="2760"/>
      <c r="CX23" s="2760"/>
      <c r="CY23" s="2761"/>
      <c r="CZ23" s="2762"/>
      <c r="DA23" s="2763"/>
      <c r="DB23" s="2763"/>
      <c r="DC23" s="2764"/>
      <c r="DD23" s="2762"/>
      <c r="DE23" s="2763"/>
      <c r="DF23" s="2763"/>
      <c r="DG23" s="2764"/>
      <c r="DH23" s="1319"/>
      <c r="DI23" s="1319"/>
      <c r="DJ23" s="1319"/>
      <c r="DK23" s="1319"/>
      <c r="DL23" s="2759">
        <v>1830.9</v>
      </c>
      <c r="DM23" s="2760"/>
      <c r="DN23" s="2760"/>
      <c r="DO23" s="2761"/>
      <c r="DP23" s="2759">
        <v>0</v>
      </c>
      <c r="DQ23" s="2760"/>
      <c r="DR23" s="2760"/>
      <c r="DS23" s="2761"/>
      <c r="DT23" s="2759">
        <f>'11 - FINANCEIRA'!AA42</f>
        <v>915.45</v>
      </c>
      <c r="DU23" s="2760"/>
      <c r="DV23" s="2760"/>
      <c r="DW23" s="2761"/>
      <c r="DX23" s="2786">
        <f>$ES23/4</f>
        <v>-4.5474735088646412E-13</v>
      </c>
      <c r="DY23" s="2787"/>
      <c r="DZ23" s="2787"/>
      <c r="EA23" s="2788"/>
      <c r="EB23" s="2777">
        <f t="shared" ref="EB23" si="141">$ES23/4</f>
        <v>-4.5474735088646412E-13</v>
      </c>
      <c r="EC23" s="2778"/>
      <c r="ED23" s="2778"/>
      <c r="EE23" s="2779"/>
      <c r="EF23" s="2777">
        <f t="shared" ref="EF23" si="142">$ES23/4</f>
        <v>-4.5474735088646412E-13</v>
      </c>
      <c r="EG23" s="2778"/>
      <c r="EH23" s="2778"/>
      <c r="EI23" s="2779"/>
      <c r="EJ23" s="2777">
        <f t="shared" ref="EJ23" si="143">$ES23/4</f>
        <v>-4.5474735088646412E-13</v>
      </c>
      <c r="EK23" s="2778"/>
      <c r="EL23" s="2778"/>
      <c r="EM23" s="2779"/>
      <c r="EN23" s="2825">
        <f>SUM(H23:DW23)</f>
        <v>8239.0500000000011</v>
      </c>
      <c r="EO23" s="2826"/>
      <c r="ER23" s="978">
        <f>SUM(H23:DW23)</f>
        <v>8239.0500000000011</v>
      </c>
      <c r="ES23" s="978">
        <f t="shared" si="68"/>
        <v>-1.8189894035458565E-12</v>
      </c>
      <c r="ET23" s="978">
        <f>SUM(H23:EM23)</f>
        <v>8239.0500000000011</v>
      </c>
      <c r="EU23" t="str">
        <f t="shared" si="69"/>
        <v/>
      </c>
    </row>
    <row r="24" spans="1:151" ht="15" customHeight="1">
      <c r="A24" s="2827">
        <v>5</v>
      </c>
      <c r="B24" s="2830" t="s">
        <v>687</v>
      </c>
      <c r="C24" s="2831"/>
      <c r="D24" s="2832"/>
      <c r="E24" s="979"/>
      <c r="F24" s="2839">
        <f>EQ25</f>
        <v>87169.799999999988</v>
      </c>
      <c r="G24" s="2846">
        <f t="shared" ref="G24" si="144">F24</f>
        <v>87169.799999999988</v>
      </c>
      <c r="H24" s="979"/>
      <c r="I24" s="979"/>
      <c r="J24" s="979"/>
      <c r="K24" s="979"/>
      <c r="L24" s="979"/>
      <c r="M24" s="979"/>
      <c r="N24" s="979"/>
      <c r="O24" s="979"/>
      <c r="P24" s="979"/>
      <c r="Q24" s="979"/>
      <c r="R24" s="979"/>
      <c r="S24" s="979"/>
      <c r="T24" s="979"/>
      <c r="U24" s="979"/>
      <c r="V24" s="979"/>
      <c r="W24" s="979"/>
      <c r="X24" s="979"/>
      <c r="Y24" s="979"/>
      <c r="Z24" s="979"/>
      <c r="AA24" s="979"/>
      <c r="AB24" s="979"/>
      <c r="AC24" s="979"/>
      <c r="AD24" s="979"/>
      <c r="AE24" s="979"/>
      <c r="AF24" s="979"/>
      <c r="AG24" s="979"/>
      <c r="AH24" s="979"/>
      <c r="AI24" s="979"/>
      <c r="AJ24" s="979"/>
      <c r="AK24" s="979"/>
      <c r="AL24" s="979"/>
      <c r="AM24" s="979"/>
      <c r="AN24" s="979"/>
      <c r="AO24" s="979"/>
      <c r="AP24" s="979"/>
      <c r="AQ24" s="979"/>
      <c r="AR24" s="979"/>
      <c r="AS24" s="979"/>
      <c r="AT24" s="979"/>
      <c r="AU24" s="979"/>
      <c r="AV24" s="979"/>
      <c r="AW24" s="979"/>
      <c r="AX24" s="979"/>
      <c r="AY24" s="979"/>
      <c r="AZ24" s="979"/>
      <c r="BA24" s="979"/>
      <c r="BB24" s="979"/>
      <c r="BC24" s="979"/>
      <c r="BD24" s="979"/>
      <c r="BE24" s="979"/>
      <c r="BF24" s="979"/>
      <c r="BG24" s="979"/>
      <c r="BH24" s="979"/>
      <c r="BI24" s="979"/>
      <c r="BJ24" s="979"/>
      <c r="BK24" s="979"/>
      <c r="BL24" s="979"/>
      <c r="BM24" s="979"/>
      <c r="BN24" s="979"/>
      <c r="BO24" s="979"/>
      <c r="BP24" s="979"/>
      <c r="BQ24" s="979"/>
      <c r="BR24" s="979"/>
      <c r="BS24" s="979"/>
      <c r="BT24" s="979"/>
      <c r="BU24" s="979"/>
      <c r="BV24" s="979"/>
      <c r="BW24" s="979"/>
      <c r="BX24" s="979"/>
      <c r="BY24" s="979"/>
      <c r="BZ24" s="979"/>
      <c r="CA24" s="979"/>
      <c r="CB24" s="979"/>
      <c r="CC24" s="979"/>
      <c r="CD24" s="979"/>
      <c r="CE24" s="979"/>
      <c r="CF24" s="979"/>
      <c r="CG24" s="979"/>
      <c r="CH24" s="979"/>
      <c r="CI24" s="979"/>
      <c r="CJ24" s="979"/>
      <c r="CK24" s="979"/>
      <c r="CL24" s="979"/>
      <c r="CM24" s="979"/>
      <c r="CN24" s="979"/>
      <c r="CO24" s="979"/>
      <c r="CP24" s="979"/>
      <c r="CQ24" s="979"/>
      <c r="CR24" s="979"/>
      <c r="CS24" s="979"/>
      <c r="CT24" s="979"/>
      <c r="CU24" s="979"/>
      <c r="CV24" s="979"/>
      <c r="CW24" s="979"/>
      <c r="CX24" s="979"/>
      <c r="CY24" s="979"/>
      <c r="CZ24" s="979"/>
      <c r="DA24" s="979"/>
      <c r="DB24" s="979"/>
      <c r="DC24" s="979"/>
      <c r="DD24" s="979"/>
      <c r="DE24" s="979"/>
      <c r="DF24" s="979"/>
      <c r="DG24" s="979"/>
      <c r="DH24" s="979"/>
      <c r="DI24" s="979"/>
      <c r="DJ24" s="979"/>
      <c r="DK24" s="1391"/>
      <c r="DL24" s="979"/>
      <c r="DM24" s="979"/>
      <c r="DN24" s="979"/>
      <c r="DO24" s="979"/>
      <c r="DP24" s="979"/>
      <c r="DQ24" s="979"/>
      <c r="DR24" s="979"/>
      <c r="DS24" s="979"/>
      <c r="DT24" s="979"/>
      <c r="DU24" s="979"/>
      <c r="DV24" s="979"/>
      <c r="DW24" s="979"/>
      <c r="DX24" s="1393"/>
      <c r="DY24" s="1393"/>
      <c r="DZ24" s="1393"/>
      <c r="EA24" s="1393"/>
      <c r="EB24" s="1392"/>
      <c r="EC24" s="1392"/>
      <c r="ED24" s="1392"/>
      <c r="EE24" s="1392"/>
      <c r="EF24" s="1392"/>
      <c r="EG24" s="1392"/>
      <c r="EH24" s="1392"/>
      <c r="EI24" s="1392"/>
      <c r="EJ24" s="1392"/>
      <c r="EK24" s="1392"/>
      <c r="EL24" s="1392"/>
      <c r="EM24" s="1392"/>
      <c r="EN24" s="2825"/>
      <c r="EO24" s="2826"/>
      <c r="ES24" s="978" t="str">
        <f t="shared" si="68"/>
        <v/>
      </c>
      <c r="EU24" t="str">
        <f t="shared" si="69"/>
        <v/>
      </c>
    </row>
    <row r="25" spans="1:151">
      <c r="A25" s="2828"/>
      <c r="B25" s="2833"/>
      <c r="C25" s="2834"/>
      <c r="D25" s="2835"/>
      <c r="E25" s="980" t="s">
        <v>683</v>
      </c>
      <c r="F25" s="2840"/>
      <c r="G25" s="2847"/>
      <c r="H25" s="2753" t="str">
        <f>IF(H26="","",H26/$G24)</f>
        <v/>
      </c>
      <c r="I25" s="2754"/>
      <c r="J25" s="2754"/>
      <c r="K25" s="2755"/>
      <c r="L25" s="2753" t="str">
        <f t="shared" ref="L25" si="145">IF(L26="","",L26/$G24)</f>
        <v/>
      </c>
      <c r="M25" s="2754"/>
      <c r="N25" s="2754"/>
      <c r="O25" s="2755"/>
      <c r="P25" s="2753" t="str">
        <f t="shared" ref="P25" si="146">IF(P26="","",P26/$G24)</f>
        <v/>
      </c>
      <c r="Q25" s="2754"/>
      <c r="R25" s="2754"/>
      <c r="S25" s="2755"/>
      <c r="T25" s="2753" t="str">
        <f t="shared" ref="T25" si="147">IF(T26="","",T26/$G24)</f>
        <v/>
      </c>
      <c r="U25" s="2754"/>
      <c r="V25" s="2754"/>
      <c r="W25" s="2755"/>
      <c r="X25" s="2753" t="str">
        <f t="shared" ref="X25" si="148">IF(X26="","",X26/$G24)</f>
        <v/>
      </c>
      <c r="Y25" s="2754"/>
      <c r="Z25" s="2754"/>
      <c r="AA25" s="2755"/>
      <c r="AB25" s="2753" t="str">
        <f t="shared" ref="AB25" si="149">IF(AB26="","",AB26/$G24)</f>
        <v/>
      </c>
      <c r="AC25" s="2754"/>
      <c r="AD25" s="2754"/>
      <c r="AE25" s="2755"/>
      <c r="AF25" s="2753">
        <f t="shared" ref="AF25" si="150">IF(AF26="","",AF26/$G24)</f>
        <v>6.7057398319142647E-2</v>
      </c>
      <c r="AG25" s="2754"/>
      <c r="AH25" s="2754"/>
      <c r="AI25" s="2755"/>
      <c r="AJ25" s="2753" t="str">
        <f t="shared" ref="AJ25" si="151">IF(AJ26="","",AJ26/$G24)</f>
        <v/>
      </c>
      <c r="AK25" s="2754"/>
      <c r="AL25" s="2754"/>
      <c r="AM25" s="2755"/>
      <c r="AN25" s="2753" t="str">
        <f t="shared" ref="AN25" si="152">IF(AN26="","",AN26/$G24)</f>
        <v/>
      </c>
      <c r="AO25" s="2754"/>
      <c r="AP25" s="2754"/>
      <c r="AQ25" s="2755"/>
      <c r="AR25" s="2753" t="str">
        <f t="shared" ref="AR25" si="153">IF(AR26="","",AR26/$G24)</f>
        <v/>
      </c>
      <c r="AS25" s="2754"/>
      <c r="AT25" s="2754"/>
      <c r="AU25" s="2755"/>
      <c r="AV25" s="2753" t="str">
        <f t="shared" ref="AV25" si="154">IF(AV26="","",AV26/$G24)</f>
        <v/>
      </c>
      <c r="AW25" s="2754"/>
      <c r="AX25" s="2754"/>
      <c r="AY25" s="2755"/>
      <c r="AZ25" s="2753">
        <f t="shared" ref="AZ25" si="155">IF(AZ26="","",AZ26/$G24)</f>
        <v>2.3306695667536237E-2</v>
      </c>
      <c r="BA25" s="2754"/>
      <c r="BB25" s="2754"/>
      <c r="BC25" s="2755"/>
      <c r="BD25" s="2753">
        <f t="shared" ref="BD25" si="156">IF(BD26="","",BD26/$G24)</f>
        <v>2.0106619494366172E-2</v>
      </c>
      <c r="BE25" s="2754"/>
      <c r="BF25" s="2754"/>
      <c r="BG25" s="2755"/>
      <c r="BH25" s="2753" t="str">
        <f t="shared" ref="BH25" si="157">IF(BH26="","",BH26/$G24)</f>
        <v/>
      </c>
      <c r="BI25" s="2754"/>
      <c r="BJ25" s="2754"/>
      <c r="BK25" s="2755"/>
      <c r="BL25" s="2753" t="str">
        <f t="shared" ref="BL25" si="158">IF(BL26="","",BL26/$G24)</f>
        <v/>
      </c>
      <c r="BM25" s="2754"/>
      <c r="BN25" s="2754"/>
      <c r="BO25" s="2755"/>
      <c r="BP25" s="2753" t="str">
        <f t="shared" ref="BP25" si="159">IF(BP26="","",BP26/$G24)</f>
        <v/>
      </c>
      <c r="BQ25" s="2754"/>
      <c r="BR25" s="2754"/>
      <c r="BS25" s="2755"/>
      <c r="BT25" s="2753" t="str">
        <f t="shared" ref="BT25" si="160">IF(BT26="","",BT26/$G24)</f>
        <v/>
      </c>
      <c r="BU25" s="2754"/>
      <c r="BV25" s="2754"/>
      <c r="BW25" s="2755"/>
      <c r="BX25" s="2753" t="str">
        <f t="shared" ref="BX25" si="161">IF(BX26="","",BX26/$G24)</f>
        <v/>
      </c>
      <c r="BY25" s="2754"/>
      <c r="BZ25" s="2754"/>
      <c r="CA25" s="2755"/>
      <c r="CB25" s="2753" t="str">
        <f t="shared" ref="CB25" si="162">IF(CB26="","",CB26/$G24)</f>
        <v/>
      </c>
      <c r="CC25" s="2754"/>
      <c r="CD25" s="2754"/>
      <c r="CE25" s="2755"/>
      <c r="CF25" s="2753" t="str">
        <f t="shared" ref="CF25" si="163">IF(CF26="","",CF26/$G24)</f>
        <v/>
      </c>
      <c r="CG25" s="2754"/>
      <c r="CH25" s="2754"/>
      <c r="CI25" s="2755"/>
      <c r="CJ25" s="1133" t="str">
        <f t="shared" ref="CJ25" si="164">IF(CJ26="","",CJ26/$G24)</f>
        <v/>
      </c>
      <c r="CK25" s="1134"/>
      <c r="CL25" s="1134"/>
      <c r="CM25" s="1135"/>
      <c r="CN25" s="2768" t="str">
        <f t="shared" ref="CN25" si="165">IF(CN26="","",CN26/$G24)</f>
        <v/>
      </c>
      <c r="CO25" s="2769"/>
      <c r="CP25" s="2769"/>
      <c r="CQ25" s="2770"/>
      <c r="CR25" s="2765" t="str">
        <f t="shared" ref="CR25" si="166">IF(CR26="","",CR26/$G24)</f>
        <v/>
      </c>
      <c r="CS25" s="2766"/>
      <c r="CT25" s="2766"/>
      <c r="CU25" s="2767"/>
      <c r="CV25" s="2771" t="str">
        <f t="shared" ref="CV25" si="167">IF(CV26="","",CV26/$G24)</f>
        <v/>
      </c>
      <c r="CW25" s="2772"/>
      <c r="CX25" s="2772"/>
      <c r="CY25" s="2773"/>
      <c r="CZ25" s="2753" t="str">
        <f t="shared" ref="CZ25" si="168">IF(CZ26="","",CZ26/$G24)</f>
        <v/>
      </c>
      <c r="DA25" s="2754"/>
      <c r="DB25" s="2754"/>
      <c r="DC25" s="2755"/>
      <c r="DD25" s="2753" t="str">
        <f t="shared" ref="DD25" si="169">IF(DD26="","",DD26/$G24)</f>
        <v/>
      </c>
      <c r="DE25" s="2754"/>
      <c r="DF25" s="2754"/>
      <c r="DG25" s="2755"/>
      <c r="DH25" s="1320" t="str">
        <f t="shared" ref="DH25" si="170">IF(DH26="","",DH26/$G24)</f>
        <v/>
      </c>
      <c r="DI25" s="1320"/>
      <c r="DJ25" s="1320"/>
      <c r="DK25" s="1320"/>
      <c r="DL25" s="2768">
        <f t="shared" ref="DL25" si="171">IF(DL26="","",DL26/$G24)</f>
        <v>0.14701146497984396</v>
      </c>
      <c r="DM25" s="2769"/>
      <c r="DN25" s="2769"/>
      <c r="DO25" s="2770"/>
      <c r="DP25" s="2768">
        <f t="shared" ref="DP25" si="172">IF(DP26="","",DP26/$G24)</f>
        <v>0.21872437472610931</v>
      </c>
      <c r="DQ25" s="2769"/>
      <c r="DR25" s="2769"/>
      <c r="DS25" s="2770"/>
      <c r="DT25" s="2768">
        <f t="shared" ref="DT25" si="173">IF(DT26="","",DT26/$G24)</f>
        <v>4.7586205314225846E-2</v>
      </c>
      <c r="DU25" s="2769"/>
      <c r="DV25" s="2769"/>
      <c r="DW25" s="2770"/>
      <c r="DX25" s="2783">
        <f t="shared" ref="DX25" si="174">IF(DX26="","",DX26/$G24)</f>
        <v>0.11905181037469396</v>
      </c>
      <c r="DY25" s="2784"/>
      <c r="DZ25" s="2784"/>
      <c r="EA25" s="2785"/>
      <c r="EB25" s="2774">
        <f t="shared" ref="EB25" si="175">IF(EB26="","",EB26/$G24)</f>
        <v>0.11905181037469396</v>
      </c>
      <c r="EC25" s="2775"/>
      <c r="ED25" s="2775"/>
      <c r="EE25" s="2776"/>
      <c r="EF25" s="2774">
        <f t="shared" ref="EF25" si="176">IF(EF26="","",EF26/$G24)</f>
        <v>0.11905181037469396</v>
      </c>
      <c r="EG25" s="2775"/>
      <c r="EH25" s="2775"/>
      <c r="EI25" s="2776"/>
      <c r="EJ25" s="2774">
        <f t="shared" ref="EJ25" si="177">IF(EJ26="","",EJ26/$G24)</f>
        <v>0.11905181037469396</v>
      </c>
      <c r="EK25" s="2775"/>
      <c r="EL25" s="2775"/>
      <c r="EM25" s="2776"/>
      <c r="EN25" s="2842">
        <f>EN26/F24</f>
        <v>0.5237927585012242</v>
      </c>
      <c r="EO25" s="2826"/>
      <c r="EQ25">
        <v>87169.799999999988</v>
      </c>
      <c r="ES25" s="978" t="str">
        <f t="shared" si="68"/>
        <v/>
      </c>
      <c r="EU25" t="str">
        <f t="shared" si="69"/>
        <v/>
      </c>
    </row>
    <row r="26" spans="1:151">
      <c r="A26" s="2829"/>
      <c r="B26" s="2836"/>
      <c r="C26" s="2837"/>
      <c r="D26" s="2838"/>
      <c r="E26" s="979" t="s">
        <v>684</v>
      </c>
      <c r="F26" s="2841"/>
      <c r="G26" s="2848"/>
      <c r="H26" s="2843"/>
      <c r="I26" s="2844"/>
      <c r="J26" s="2844"/>
      <c r="K26" s="2845"/>
      <c r="L26" s="2843"/>
      <c r="M26" s="2844"/>
      <c r="N26" s="2844"/>
      <c r="O26" s="2845"/>
      <c r="P26" s="2798"/>
      <c r="Q26" s="2799"/>
      <c r="R26" s="2799"/>
      <c r="S26" s="2800"/>
      <c r="T26" s="2798"/>
      <c r="U26" s="2799"/>
      <c r="V26" s="2799"/>
      <c r="W26" s="2800"/>
      <c r="X26" s="2798"/>
      <c r="Y26" s="2799"/>
      <c r="Z26" s="2799"/>
      <c r="AA26" s="2800"/>
      <c r="AB26" s="2798"/>
      <c r="AC26" s="2799"/>
      <c r="AD26" s="2799"/>
      <c r="AE26" s="2800"/>
      <c r="AF26" s="2759">
        <v>5845.38</v>
      </c>
      <c r="AG26" s="2760"/>
      <c r="AH26" s="2760"/>
      <c r="AI26" s="2761"/>
      <c r="AJ26" s="2798"/>
      <c r="AK26" s="2799"/>
      <c r="AL26" s="2799"/>
      <c r="AM26" s="2800"/>
      <c r="AN26" s="2798"/>
      <c r="AO26" s="2799"/>
      <c r="AP26" s="2799"/>
      <c r="AQ26" s="2800"/>
      <c r="AR26" s="2798"/>
      <c r="AS26" s="2799"/>
      <c r="AT26" s="2799"/>
      <c r="AU26" s="2800"/>
      <c r="AV26" s="2798"/>
      <c r="AW26" s="2799"/>
      <c r="AX26" s="2799"/>
      <c r="AY26" s="2800"/>
      <c r="AZ26" s="2759">
        <v>2031.64</v>
      </c>
      <c r="BA26" s="2760"/>
      <c r="BB26" s="2760"/>
      <c r="BC26" s="2761"/>
      <c r="BD26" s="2759">
        <v>1752.69</v>
      </c>
      <c r="BE26" s="2760"/>
      <c r="BF26" s="2760"/>
      <c r="BG26" s="2761"/>
      <c r="BH26" s="2798"/>
      <c r="BI26" s="2799"/>
      <c r="BJ26" s="2799"/>
      <c r="BK26" s="2800"/>
      <c r="BL26" s="2798"/>
      <c r="BM26" s="2799"/>
      <c r="BN26" s="2799"/>
      <c r="BO26" s="2800"/>
      <c r="BP26" s="2798"/>
      <c r="BQ26" s="2799"/>
      <c r="BR26" s="2799"/>
      <c r="BS26" s="2800"/>
      <c r="BT26" s="2798"/>
      <c r="BU26" s="2799"/>
      <c r="BV26" s="2799"/>
      <c r="BW26" s="2800"/>
      <c r="BX26" s="2798"/>
      <c r="BY26" s="2799"/>
      <c r="BZ26" s="2799"/>
      <c r="CA26" s="2800"/>
      <c r="CB26" s="2798"/>
      <c r="CC26" s="2799"/>
      <c r="CD26" s="2799"/>
      <c r="CE26" s="2800"/>
      <c r="CF26" s="2798"/>
      <c r="CG26" s="2799"/>
      <c r="CH26" s="2799"/>
      <c r="CI26" s="2800"/>
      <c r="CJ26" s="2798"/>
      <c r="CK26" s="2799"/>
      <c r="CL26" s="2799"/>
      <c r="CM26" s="2800"/>
      <c r="CN26" s="2798"/>
      <c r="CO26" s="2799"/>
      <c r="CP26" s="2799"/>
      <c r="CQ26" s="2800"/>
      <c r="CR26" s="2798"/>
      <c r="CS26" s="2799"/>
      <c r="CT26" s="2799"/>
      <c r="CU26" s="2800"/>
      <c r="CV26" s="1333"/>
      <c r="CW26" s="1334"/>
      <c r="CX26" s="1334"/>
      <c r="CY26" s="1335"/>
      <c r="CZ26" s="2762"/>
      <c r="DA26" s="2763"/>
      <c r="DB26" s="2763"/>
      <c r="DC26" s="2764"/>
      <c r="DD26" s="2762"/>
      <c r="DE26" s="2763"/>
      <c r="DF26" s="2763"/>
      <c r="DG26" s="2764"/>
      <c r="DH26" s="1319"/>
      <c r="DI26" s="1319"/>
      <c r="DJ26" s="1319"/>
      <c r="DK26" s="1319"/>
      <c r="DL26" s="2759">
        <v>12814.960000000001</v>
      </c>
      <c r="DM26" s="2760"/>
      <c r="DN26" s="2760"/>
      <c r="DO26" s="2761"/>
      <c r="DP26" s="2759">
        <v>19066.16</v>
      </c>
      <c r="DQ26" s="2760"/>
      <c r="DR26" s="2760"/>
      <c r="DS26" s="2761"/>
      <c r="DT26" s="2759">
        <f>'11 - FINANCEIRA'!AA44</f>
        <v>4148.0800000000036</v>
      </c>
      <c r="DU26" s="2760"/>
      <c r="DV26" s="2760"/>
      <c r="DW26" s="2761"/>
      <c r="DX26" s="2786">
        <f>$ES26/4</f>
        <v>10377.722499999996</v>
      </c>
      <c r="DY26" s="2787"/>
      <c r="DZ26" s="2787"/>
      <c r="EA26" s="2788"/>
      <c r="EB26" s="2777">
        <f t="shared" ref="EB26" si="178">$ES26/4</f>
        <v>10377.722499999996</v>
      </c>
      <c r="EC26" s="2778"/>
      <c r="ED26" s="2778"/>
      <c r="EE26" s="2779"/>
      <c r="EF26" s="2777">
        <f t="shared" ref="EF26" si="179">$ES26/4</f>
        <v>10377.722499999996</v>
      </c>
      <c r="EG26" s="2778"/>
      <c r="EH26" s="2778"/>
      <c r="EI26" s="2779"/>
      <c r="EJ26" s="2777">
        <f t="shared" ref="EJ26" si="180">$ES26/4</f>
        <v>10377.722499999996</v>
      </c>
      <c r="EK26" s="2778"/>
      <c r="EL26" s="2778"/>
      <c r="EM26" s="2779"/>
      <c r="EN26" s="2825">
        <f>SUM(H26:DW26)</f>
        <v>45658.91</v>
      </c>
      <c r="EO26" s="2826"/>
      <c r="ER26" s="978">
        <f>SUM(H26:DW26)</f>
        <v>45658.91</v>
      </c>
      <c r="ES26" s="978">
        <f t="shared" si="68"/>
        <v>41510.889999999985</v>
      </c>
      <c r="ET26" s="978">
        <f>SUM(H26:EM26)</f>
        <v>87169.799999999988</v>
      </c>
      <c r="EU26" t="str">
        <f t="shared" si="69"/>
        <v/>
      </c>
    </row>
    <row r="27" spans="1:151" ht="15" customHeight="1">
      <c r="A27" s="2827">
        <v>6</v>
      </c>
      <c r="B27" s="2830" t="s">
        <v>688</v>
      </c>
      <c r="C27" s="2831"/>
      <c r="D27" s="2832"/>
      <c r="E27" s="979"/>
      <c r="F27" s="2839">
        <f>EQ28</f>
        <v>222614.03999999998</v>
      </c>
      <c r="G27" s="2846">
        <f t="shared" ref="G27" si="181">F27</f>
        <v>222614.03999999998</v>
      </c>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c r="AL27" s="979"/>
      <c r="AM27" s="979"/>
      <c r="AN27" s="979"/>
      <c r="AO27" s="979"/>
      <c r="AP27" s="979"/>
      <c r="AQ27" s="979"/>
      <c r="AR27" s="979"/>
      <c r="AS27" s="979"/>
      <c r="AT27" s="979"/>
      <c r="AU27" s="979"/>
      <c r="AV27" s="979"/>
      <c r="AW27" s="979"/>
      <c r="AX27" s="979"/>
      <c r="AY27" s="979"/>
      <c r="AZ27" s="979"/>
      <c r="BA27" s="979"/>
      <c r="BB27" s="979"/>
      <c r="BC27" s="979"/>
      <c r="BD27" s="979"/>
      <c r="BE27" s="979"/>
      <c r="BF27" s="979"/>
      <c r="BG27" s="979"/>
      <c r="BH27" s="979"/>
      <c r="BI27" s="979"/>
      <c r="BJ27" s="979"/>
      <c r="BK27" s="979"/>
      <c r="BL27" s="979"/>
      <c r="BM27" s="979"/>
      <c r="BN27" s="979"/>
      <c r="BO27" s="979"/>
      <c r="BP27" s="979"/>
      <c r="BQ27" s="979"/>
      <c r="BR27" s="979"/>
      <c r="BS27" s="979"/>
      <c r="BT27" s="979"/>
      <c r="BU27" s="979"/>
      <c r="BV27" s="979"/>
      <c r="BW27" s="979"/>
      <c r="BX27" s="979"/>
      <c r="BY27" s="979"/>
      <c r="BZ27" s="979"/>
      <c r="CA27" s="979"/>
      <c r="CB27" s="979"/>
      <c r="CC27" s="979"/>
      <c r="CD27" s="979"/>
      <c r="CE27" s="979"/>
      <c r="CF27" s="979"/>
      <c r="CG27" s="979"/>
      <c r="CH27" s="979"/>
      <c r="CI27" s="979"/>
      <c r="CJ27" s="979"/>
      <c r="CK27" s="979"/>
      <c r="CL27" s="979"/>
      <c r="CM27" s="979"/>
      <c r="CN27" s="979"/>
      <c r="CO27" s="979"/>
      <c r="CP27" s="979"/>
      <c r="CQ27" s="979"/>
      <c r="CR27" s="979"/>
      <c r="CS27" s="979"/>
      <c r="CT27" s="979"/>
      <c r="CU27" s="979"/>
      <c r="CV27" s="979"/>
      <c r="CW27" s="979"/>
      <c r="CX27" s="979"/>
      <c r="CY27" s="979"/>
      <c r="CZ27" s="979"/>
      <c r="DA27" s="979"/>
      <c r="DB27" s="979"/>
      <c r="DC27" s="979"/>
      <c r="DD27" s="979"/>
      <c r="DE27" s="979"/>
      <c r="DF27" s="979"/>
      <c r="DG27" s="979"/>
      <c r="DH27" s="979"/>
      <c r="DI27" s="979"/>
      <c r="DJ27" s="979"/>
      <c r="DK27" s="1391"/>
      <c r="DL27" s="979"/>
      <c r="DM27" s="979"/>
      <c r="DN27" s="979"/>
      <c r="DO27" s="979"/>
      <c r="DP27" s="979"/>
      <c r="DQ27" s="979"/>
      <c r="DR27" s="979"/>
      <c r="DS27" s="979"/>
      <c r="DT27" s="979"/>
      <c r="DU27" s="979"/>
      <c r="DV27" s="979"/>
      <c r="DW27" s="979"/>
      <c r="DX27" s="1393"/>
      <c r="DY27" s="1393"/>
      <c r="DZ27" s="1393"/>
      <c r="EA27" s="1393"/>
      <c r="EB27" s="1392"/>
      <c r="EC27" s="1392"/>
      <c r="ED27" s="1392"/>
      <c r="EE27" s="1392"/>
      <c r="EF27" s="1392"/>
      <c r="EG27" s="1392"/>
      <c r="EH27" s="1392"/>
      <c r="EI27" s="1392"/>
      <c r="EJ27" s="1392"/>
      <c r="EK27" s="1392"/>
      <c r="EL27" s="1392"/>
      <c r="EM27" s="1392"/>
      <c r="EN27" s="2825"/>
      <c r="EO27" s="2826"/>
      <c r="ES27" s="978" t="str">
        <f t="shared" si="68"/>
        <v/>
      </c>
      <c r="EU27" t="str">
        <f t="shared" si="69"/>
        <v/>
      </c>
    </row>
    <row r="28" spans="1:151">
      <c r="A28" s="2828"/>
      <c r="B28" s="2833"/>
      <c r="C28" s="2834"/>
      <c r="D28" s="2835"/>
      <c r="E28" s="980" t="s">
        <v>683</v>
      </c>
      <c r="F28" s="2840"/>
      <c r="G28" s="2847"/>
      <c r="H28" s="2753" t="str">
        <f>IF(H29="","",H29/$G27)</f>
        <v/>
      </c>
      <c r="I28" s="2754"/>
      <c r="J28" s="2754"/>
      <c r="K28" s="2755"/>
      <c r="L28" s="2753" t="str">
        <f t="shared" ref="L28" si="182">IF(L29="","",L29/$G27)</f>
        <v/>
      </c>
      <c r="M28" s="2754"/>
      <c r="N28" s="2754"/>
      <c r="O28" s="2755"/>
      <c r="P28" s="2753" t="str">
        <f t="shared" ref="P28" si="183">IF(P29="","",P29/$G27)</f>
        <v/>
      </c>
      <c r="Q28" s="2754"/>
      <c r="R28" s="2754"/>
      <c r="S28" s="2755"/>
      <c r="T28" s="2753" t="str">
        <f t="shared" ref="T28" si="184">IF(T29="","",T29/$G27)</f>
        <v/>
      </c>
      <c r="U28" s="2754"/>
      <c r="V28" s="2754"/>
      <c r="W28" s="2755"/>
      <c r="X28" s="2753" t="str">
        <f t="shared" ref="X28" si="185">IF(X29="","",X29/$G27)</f>
        <v/>
      </c>
      <c r="Y28" s="2754"/>
      <c r="Z28" s="2754"/>
      <c r="AA28" s="2755"/>
      <c r="AB28" s="2753">
        <f t="shared" ref="AB28" si="186">IF(AB29="","",AB29/$G27)</f>
        <v>4.3049486007261724E-2</v>
      </c>
      <c r="AC28" s="2754"/>
      <c r="AD28" s="2754"/>
      <c r="AE28" s="2755"/>
      <c r="AF28" s="2753">
        <f t="shared" ref="AF28" si="187">IF(AF29="","",AF29/$G27)</f>
        <v>1.2309376353800507E-2</v>
      </c>
      <c r="AG28" s="2754"/>
      <c r="AH28" s="2754"/>
      <c r="AI28" s="2755"/>
      <c r="AJ28" s="2753">
        <f t="shared" ref="AJ28" si="188">IF(AJ29="","",AJ29/$G27)</f>
        <v>1.4178890064615873E-2</v>
      </c>
      <c r="AK28" s="2754"/>
      <c r="AL28" s="2754"/>
      <c r="AM28" s="2755"/>
      <c r="AN28" s="2753">
        <f t="shared" ref="AN28" si="189">IF(AN29="","",AN29/$G27)</f>
        <v>4.3938962699747064E-2</v>
      </c>
      <c r="AO28" s="2754"/>
      <c r="AP28" s="2754"/>
      <c r="AQ28" s="2755"/>
      <c r="AR28" s="2753">
        <f t="shared" ref="AR28" si="190">IF(AR29="","",AR29/$G27)</f>
        <v>6.3060218483973432E-2</v>
      </c>
      <c r="AS28" s="2754"/>
      <c r="AT28" s="2754"/>
      <c r="AU28" s="2755"/>
      <c r="AV28" s="2753" t="str">
        <f t="shared" ref="AV28" si="191">IF(AV29="","",AV29/$G27)</f>
        <v/>
      </c>
      <c r="AW28" s="2754"/>
      <c r="AX28" s="2754"/>
      <c r="AY28" s="2755"/>
      <c r="AZ28" s="2753" t="str">
        <f t="shared" ref="AZ28" si="192">IF(AZ29="","",AZ29/$G27)</f>
        <v/>
      </c>
      <c r="BA28" s="2754"/>
      <c r="BB28" s="2754"/>
      <c r="BC28" s="2755"/>
      <c r="BD28" s="2753" t="str">
        <f t="shared" ref="BD28" si="193">IF(BD29="","",BD29/$G27)</f>
        <v/>
      </c>
      <c r="BE28" s="2754"/>
      <c r="BF28" s="2754"/>
      <c r="BG28" s="2755"/>
      <c r="BH28" s="2753" t="str">
        <f t="shared" ref="BH28" si="194">IF(BH29="","",BH29/$G27)</f>
        <v/>
      </c>
      <c r="BI28" s="2754"/>
      <c r="BJ28" s="2754"/>
      <c r="BK28" s="2755"/>
      <c r="BL28" s="2753" t="str">
        <f t="shared" ref="BL28" si="195">IF(BL29="","",BL29/$G27)</f>
        <v/>
      </c>
      <c r="BM28" s="2754"/>
      <c r="BN28" s="2754"/>
      <c r="BO28" s="2755"/>
      <c r="BP28" s="2753" t="str">
        <f t="shared" ref="BP28" si="196">IF(BP29="","",BP29/$G27)</f>
        <v/>
      </c>
      <c r="BQ28" s="2754"/>
      <c r="BR28" s="2754"/>
      <c r="BS28" s="2755"/>
      <c r="BT28" s="2753" t="str">
        <f t="shared" ref="BT28" si="197">IF(BT29="","",BT29/$G27)</f>
        <v/>
      </c>
      <c r="BU28" s="2754"/>
      <c r="BV28" s="2754"/>
      <c r="BW28" s="2755"/>
      <c r="BX28" s="2753">
        <f t="shared" ref="BX28" si="198">IF(BX29="","",BX29/$G27)</f>
        <v>3.7889658711552969E-2</v>
      </c>
      <c r="BY28" s="2754"/>
      <c r="BZ28" s="2754"/>
      <c r="CA28" s="2755"/>
      <c r="CB28" s="2753">
        <f t="shared" ref="CB28" si="199">IF(CB29="","",CB29/$G27)</f>
        <v>1.5707859216786146E-2</v>
      </c>
      <c r="CC28" s="2754"/>
      <c r="CD28" s="2754"/>
      <c r="CE28" s="2755"/>
      <c r="CF28" s="2753">
        <f t="shared" ref="CF28" si="200">IF(CF29="","",CF29/$G27)</f>
        <v>3.1415359067199899E-3</v>
      </c>
      <c r="CG28" s="2754"/>
      <c r="CH28" s="2754"/>
      <c r="CI28" s="2755"/>
      <c r="CJ28" s="2753">
        <f t="shared" ref="CJ28" si="201">IF(CJ29="","",CJ29/$G27)</f>
        <v>7.9107319556304765E-3</v>
      </c>
      <c r="CK28" s="2754"/>
      <c r="CL28" s="2754"/>
      <c r="CM28" s="2755"/>
      <c r="CN28" s="2768">
        <f t="shared" ref="CN28" si="202">IF(CN29="","",CN29/$G27)</f>
        <v>2.2576473613254582E-2</v>
      </c>
      <c r="CO28" s="2769"/>
      <c r="CP28" s="2769"/>
      <c r="CQ28" s="2770"/>
      <c r="CR28" s="2765">
        <f t="shared" ref="CR28" si="203">IF(CR29="","",CR29/$G27)</f>
        <v>4.3906035755875948E-3</v>
      </c>
      <c r="CS28" s="2766"/>
      <c r="CT28" s="2766"/>
      <c r="CU28" s="2767"/>
      <c r="CV28" s="2771">
        <f t="shared" ref="CV28" si="204">IF(CV29="","",CV29/$G27)</f>
        <v>7.2294182343575581E-3</v>
      </c>
      <c r="CW28" s="2772"/>
      <c r="CX28" s="2772"/>
      <c r="CY28" s="2773"/>
      <c r="CZ28" s="2753" t="str">
        <f t="shared" ref="CZ28" si="205">IF(CZ29="","",CZ29/$G27)</f>
        <v/>
      </c>
      <c r="DA28" s="2754"/>
      <c r="DB28" s="2754"/>
      <c r="DC28" s="2755"/>
      <c r="DD28" s="2753" t="str">
        <f t="shared" ref="DD28" si="206">IF(DD29="","",DD29/$G27)</f>
        <v/>
      </c>
      <c r="DE28" s="2754"/>
      <c r="DF28" s="2754"/>
      <c r="DG28" s="2755"/>
      <c r="DH28" s="1320" t="str">
        <f t="shared" ref="DH28" si="207">IF(DH29="","",DH29/$G27)</f>
        <v/>
      </c>
      <c r="DI28" s="1320"/>
      <c r="DJ28" s="1320"/>
      <c r="DK28" s="1320"/>
      <c r="DL28" s="2768">
        <f t="shared" ref="DL28" si="208">IF(DL29="","",DL29/$G27)</f>
        <v>3.1037125960249258E-3</v>
      </c>
      <c r="DM28" s="2769"/>
      <c r="DN28" s="2769"/>
      <c r="DO28" s="2770"/>
      <c r="DP28" s="2768">
        <f t="shared" ref="DP28" si="209">IF(DP29="","",DP29/$G27)</f>
        <v>4.6177231229440931E-3</v>
      </c>
      <c r="DQ28" s="2769"/>
      <c r="DR28" s="2769"/>
      <c r="DS28" s="2770"/>
      <c r="DT28" s="2768">
        <f t="shared" ref="DT28" si="210">IF(DT29="","",DT29/$G27)</f>
        <v>5.1476537598437134E-3</v>
      </c>
      <c r="DU28" s="2769"/>
      <c r="DV28" s="2769"/>
      <c r="DW28" s="2770"/>
      <c r="DX28" s="2783">
        <f t="shared" ref="DX28" si="211">IF(DX29="","",DX29/$G27)</f>
        <v>0.17793692392447483</v>
      </c>
      <c r="DY28" s="2784"/>
      <c r="DZ28" s="2784"/>
      <c r="EA28" s="2785"/>
      <c r="EB28" s="2774">
        <f t="shared" ref="EB28" si="212">IF(EB29="","",EB29/$G27)</f>
        <v>0.17793692392447483</v>
      </c>
      <c r="EC28" s="2775"/>
      <c r="ED28" s="2775"/>
      <c r="EE28" s="2776"/>
      <c r="EF28" s="2774">
        <f t="shared" ref="EF28" si="213">IF(EF29="","",EF29/$G27)</f>
        <v>0.17793692392447483</v>
      </c>
      <c r="EG28" s="2775"/>
      <c r="EH28" s="2775"/>
      <c r="EI28" s="2776"/>
      <c r="EJ28" s="2774">
        <f t="shared" ref="EJ28" si="214">IF(EJ29="","",EJ29/$G27)</f>
        <v>0.17793692392447483</v>
      </c>
      <c r="EK28" s="2775"/>
      <c r="EL28" s="2775"/>
      <c r="EM28" s="2776"/>
      <c r="EN28" s="2842">
        <f>EN29/F27</f>
        <v>0.28825230430210069</v>
      </c>
      <c r="EO28" s="2826"/>
      <c r="EQ28">
        <v>222614.03999999998</v>
      </c>
      <c r="ES28" s="978" t="str">
        <f t="shared" si="68"/>
        <v/>
      </c>
      <c r="EU28" t="str">
        <f t="shared" si="69"/>
        <v/>
      </c>
    </row>
    <row r="29" spans="1:151">
      <c r="A29" s="2829"/>
      <c r="B29" s="2836"/>
      <c r="C29" s="2837"/>
      <c r="D29" s="2838"/>
      <c r="E29" s="979" t="s">
        <v>684</v>
      </c>
      <c r="F29" s="2841"/>
      <c r="G29" s="2848"/>
      <c r="H29" s="2843"/>
      <c r="I29" s="2844"/>
      <c r="J29" s="2844"/>
      <c r="K29" s="2845"/>
      <c r="L29" s="2843"/>
      <c r="M29" s="2844"/>
      <c r="N29" s="2844"/>
      <c r="O29" s="2845"/>
      <c r="P29" s="2843"/>
      <c r="Q29" s="2844"/>
      <c r="R29" s="2844"/>
      <c r="S29" s="2845"/>
      <c r="T29" s="2843"/>
      <c r="U29" s="2844"/>
      <c r="V29" s="2844"/>
      <c r="W29" s="2845"/>
      <c r="X29" s="2843"/>
      <c r="Y29" s="2844"/>
      <c r="Z29" s="2844"/>
      <c r="AA29" s="2845"/>
      <c r="AB29" s="2759">
        <v>9583.42</v>
      </c>
      <c r="AC29" s="2760"/>
      <c r="AD29" s="2760"/>
      <c r="AE29" s="2761"/>
      <c r="AF29" s="2759">
        <v>2740.24</v>
      </c>
      <c r="AG29" s="2760"/>
      <c r="AH29" s="2760"/>
      <c r="AI29" s="2761"/>
      <c r="AJ29" s="2759">
        <v>3156.42</v>
      </c>
      <c r="AK29" s="2760"/>
      <c r="AL29" s="2760"/>
      <c r="AM29" s="2761"/>
      <c r="AN29" s="2759">
        <v>9781.43</v>
      </c>
      <c r="AO29" s="2760"/>
      <c r="AP29" s="2760"/>
      <c r="AQ29" s="2761"/>
      <c r="AR29" s="2759">
        <v>14038.09</v>
      </c>
      <c r="AS29" s="2760"/>
      <c r="AT29" s="2760"/>
      <c r="AU29" s="2761"/>
      <c r="AV29" s="2798"/>
      <c r="AW29" s="2799"/>
      <c r="AX29" s="2799"/>
      <c r="AY29" s="2800"/>
      <c r="AZ29" s="2798"/>
      <c r="BA29" s="2799"/>
      <c r="BB29" s="2799"/>
      <c r="BC29" s="2800"/>
      <c r="BD29" s="2798"/>
      <c r="BE29" s="2799"/>
      <c r="BF29" s="2799"/>
      <c r="BG29" s="2800"/>
      <c r="BH29" s="2798"/>
      <c r="BI29" s="2799"/>
      <c r="BJ29" s="2799"/>
      <c r="BK29" s="2800"/>
      <c r="BL29" s="2798"/>
      <c r="BM29" s="2799"/>
      <c r="BN29" s="2799"/>
      <c r="BO29" s="2800"/>
      <c r="BP29" s="2798"/>
      <c r="BQ29" s="2799"/>
      <c r="BR29" s="2799"/>
      <c r="BS29" s="2800"/>
      <c r="BT29" s="2798"/>
      <c r="BU29" s="2799"/>
      <c r="BV29" s="2799"/>
      <c r="BW29" s="2800"/>
      <c r="BX29" s="2759">
        <v>8434.77</v>
      </c>
      <c r="BY29" s="2760"/>
      <c r="BZ29" s="2760"/>
      <c r="CA29" s="2761"/>
      <c r="CB29" s="2759">
        <f>'[43]11 - FINANCEIRA'!O49</f>
        <v>3496.7899999999991</v>
      </c>
      <c r="CC29" s="2760"/>
      <c r="CD29" s="2760"/>
      <c r="CE29" s="2761"/>
      <c r="CF29" s="2759">
        <v>699.35</v>
      </c>
      <c r="CG29" s="2760"/>
      <c r="CH29" s="2760"/>
      <c r="CI29" s="2761"/>
      <c r="CJ29" s="2759">
        <v>1761.0400000000009</v>
      </c>
      <c r="CK29" s="2760"/>
      <c r="CL29" s="2760"/>
      <c r="CM29" s="2761"/>
      <c r="CN29" s="2759">
        <v>5025.8399999999992</v>
      </c>
      <c r="CO29" s="2760"/>
      <c r="CP29" s="2760"/>
      <c r="CQ29" s="2761"/>
      <c r="CR29" s="2759">
        <v>977.40999999999985</v>
      </c>
      <c r="CS29" s="2760"/>
      <c r="CT29" s="2760"/>
      <c r="CU29" s="2761"/>
      <c r="CV29" s="2759">
        <v>1609.3700000000026</v>
      </c>
      <c r="CW29" s="2760"/>
      <c r="CX29" s="2760"/>
      <c r="CY29" s="2761"/>
      <c r="CZ29" s="2762"/>
      <c r="DA29" s="2763"/>
      <c r="DB29" s="2763"/>
      <c r="DC29" s="2764"/>
      <c r="DD29" s="2762"/>
      <c r="DE29" s="2763"/>
      <c r="DF29" s="2763"/>
      <c r="DG29" s="2764"/>
      <c r="DH29" s="1319"/>
      <c r="DI29" s="1319"/>
      <c r="DJ29" s="1319"/>
      <c r="DK29" s="1319"/>
      <c r="DL29" s="2759">
        <v>690.92999999999665</v>
      </c>
      <c r="DM29" s="2760"/>
      <c r="DN29" s="2760"/>
      <c r="DO29" s="2761"/>
      <c r="DP29" s="2759">
        <v>1027.9700000000012</v>
      </c>
      <c r="DQ29" s="2760"/>
      <c r="DR29" s="2760"/>
      <c r="DS29" s="2761"/>
      <c r="DT29" s="2759">
        <f>'11 - FINANCEIRA'!AA49</f>
        <v>1145.9399999999987</v>
      </c>
      <c r="DU29" s="2760"/>
      <c r="DV29" s="2760"/>
      <c r="DW29" s="2761"/>
      <c r="DX29" s="2786">
        <f>$ES29/4</f>
        <v>39611.257499999992</v>
      </c>
      <c r="DY29" s="2787"/>
      <c r="DZ29" s="2787"/>
      <c r="EA29" s="2788"/>
      <c r="EB29" s="2777">
        <f t="shared" ref="EB29" si="215">$ES29/4</f>
        <v>39611.257499999992</v>
      </c>
      <c r="EC29" s="2778"/>
      <c r="ED29" s="2778"/>
      <c r="EE29" s="2779"/>
      <c r="EF29" s="2777">
        <f t="shared" ref="EF29" si="216">$ES29/4</f>
        <v>39611.257499999992</v>
      </c>
      <c r="EG29" s="2778"/>
      <c r="EH29" s="2778"/>
      <c r="EI29" s="2779"/>
      <c r="EJ29" s="2777">
        <f t="shared" ref="EJ29" si="217">$ES29/4</f>
        <v>39611.257499999992</v>
      </c>
      <c r="EK29" s="2778"/>
      <c r="EL29" s="2778"/>
      <c r="EM29" s="2779"/>
      <c r="EN29" s="2825">
        <f>SUM(H29:DW29)</f>
        <v>64169.010000000009</v>
      </c>
      <c r="EO29" s="2826"/>
      <c r="ER29" s="978">
        <f>SUM(H29:DW29)</f>
        <v>64169.010000000009</v>
      </c>
      <c r="ES29" s="978">
        <f t="shared" si="68"/>
        <v>158445.02999999997</v>
      </c>
      <c r="ET29" s="978">
        <f>SUM(H29:EM29)</f>
        <v>222614.03999999998</v>
      </c>
      <c r="EU29" t="str">
        <f t="shared" si="69"/>
        <v/>
      </c>
    </row>
    <row r="30" spans="1:151" ht="15" customHeight="1">
      <c r="A30" s="2827">
        <v>7</v>
      </c>
      <c r="B30" s="2830" t="s">
        <v>699</v>
      </c>
      <c r="C30" s="2831"/>
      <c r="D30" s="2832"/>
      <c r="E30" s="979"/>
      <c r="F30" s="2839">
        <f>EQ31</f>
        <v>128021.93</v>
      </c>
      <c r="G30" s="2846">
        <f t="shared" ref="G30" si="218">F30</f>
        <v>128021.93</v>
      </c>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79"/>
      <c r="BF30" s="979"/>
      <c r="BG30" s="979"/>
      <c r="BH30" s="979"/>
      <c r="BI30" s="979"/>
      <c r="BJ30" s="979"/>
      <c r="BK30" s="979"/>
      <c r="BL30" s="979"/>
      <c r="BM30" s="979"/>
      <c r="BN30" s="979"/>
      <c r="BO30" s="979"/>
      <c r="BP30" s="979"/>
      <c r="BQ30" s="979"/>
      <c r="BR30" s="979"/>
      <c r="BS30" s="979"/>
      <c r="BT30" s="979"/>
      <c r="BU30" s="979"/>
      <c r="BV30" s="979"/>
      <c r="BW30" s="979"/>
      <c r="BX30" s="979"/>
      <c r="BY30" s="979"/>
      <c r="BZ30" s="979"/>
      <c r="CA30" s="979"/>
      <c r="CB30" s="979"/>
      <c r="CC30" s="979"/>
      <c r="CD30" s="979"/>
      <c r="CE30" s="979"/>
      <c r="CF30" s="979"/>
      <c r="CG30" s="979"/>
      <c r="CH30" s="979"/>
      <c r="CI30" s="979"/>
      <c r="CJ30" s="979"/>
      <c r="CK30" s="979"/>
      <c r="CL30" s="979"/>
      <c r="CM30" s="979"/>
      <c r="CN30" s="979"/>
      <c r="CO30" s="979"/>
      <c r="CP30" s="979"/>
      <c r="CQ30" s="979"/>
      <c r="CR30" s="979"/>
      <c r="CS30" s="979"/>
      <c r="CT30" s="979"/>
      <c r="CU30" s="979"/>
      <c r="CV30" s="979"/>
      <c r="CW30" s="979"/>
      <c r="CX30" s="979"/>
      <c r="CY30" s="979"/>
      <c r="CZ30" s="979"/>
      <c r="DA30" s="979"/>
      <c r="DB30" s="979"/>
      <c r="DC30" s="979"/>
      <c r="DD30" s="979"/>
      <c r="DE30" s="979"/>
      <c r="DF30" s="979"/>
      <c r="DG30" s="979"/>
      <c r="DH30" s="979"/>
      <c r="DI30" s="979"/>
      <c r="DJ30" s="979"/>
      <c r="DK30" s="1391"/>
      <c r="DL30" s="979"/>
      <c r="DM30" s="979"/>
      <c r="DN30" s="979"/>
      <c r="DO30" s="979"/>
      <c r="DP30" s="979"/>
      <c r="DQ30" s="979"/>
      <c r="DR30" s="979"/>
      <c r="DS30" s="979"/>
      <c r="DT30" s="979"/>
      <c r="DU30" s="979"/>
      <c r="DV30" s="979"/>
      <c r="DW30" s="979"/>
      <c r="DX30" s="1393"/>
      <c r="DY30" s="1393"/>
      <c r="DZ30" s="1393"/>
      <c r="EA30" s="1393"/>
      <c r="EB30" s="1392"/>
      <c r="EC30" s="1392"/>
      <c r="ED30" s="1392"/>
      <c r="EE30" s="1392"/>
      <c r="EF30" s="1392"/>
      <c r="EG30" s="1392"/>
      <c r="EH30" s="1392"/>
      <c r="EI30" s="1392"/>
      <c r="EJ30" s="1392"/>
      <c r="EK30" s="1392"/>
      <c r="EL30" s="1392"/>
      <c r="EM30" s="1392"/>
      <c r="EN30" s="2825"/>
      <c r="EO30" s="2826"/>
      <c r="ES30" s="978" t="str">
        <f t="shared" si="68"/>
        <v/>
      </c>
      <c r="EU30" t="str">
        <f t="shared" si="69"/>
        <v/>
      </c>
    </row>
    <row r="31" spans="1:151">
      <c r="A31" s="2828"/>
      <c r="B31" s="2833"/>
      <c r="C31" s="2834"/>
      <c r="D31" s="2835"/>
      <c r="E31" s="980" t="s">
        <v>683</v>
      </c>
      <c r="F31" s="2840"/>
      <c r="G31" s="2847"/>
      <c r="H31" s="2753" t="str">
        <f>IF(H32="","",H32/$G30)</f>
        <v/>
      </c>
      <c r="I31" s="2754"/>
      <c r="J31" s="2754"/>
      <c r="K31" s="2755"/>
      <c r="L31" s="2753" t="str">
        <f t="shared" ref="L31" si="219">IF(L32="","",L32/$G30)</f>
        <v/>
      </c>
      <c r="M31" s="2754"/>
      <c r="N31" s="2754"/>
      <c r="O31" s="2755"/>
      <c r="P31" s="2753" t="str">
        <f t="shared" ref="P31" si="220">IF(P32="","",P32/$G30)</f>
        <v/>
      </c>
      <c r="Q31" s="2754"/>
      <c r="R31" s="2754"/>
      <c r="S31" s="2755"/>
      <c r="T31" s="2753" t="str">
        <f t="shared" ref="T31" si="221">IF(T32="","",T32/$G30)</f>
        <v/>
      </c>
      <c r="U31" s="2754"/>
      <c r="V31" s="2754"/>
      <c r="W31" s="2755"/>
      <c r="X31" s="2753" t="str">
        <f t="shared" ref="X31" si="222">IF(X32="","",X32/$G30)</f>
        <v/>
      </c>
      <c r="Y31" s="2754"/>
      <c r="Z31" s="2754"/>
      <c r="AA31" s="2755"/>
      <c r="AB31" s="2753">
        <f t="shared" ref="AB31" si="223">IF(AB32="","",AB32/$G30)</f>
        <v>7.4857643530292048E-2</v>
      </c>
      <c r="AC31" s="2754"/>
      <c r="AD31" s="2754"/>
      <c r="AE31" s="2755"/>
      <c r="AF31" s="2753">
        <f t="shared" ref="AF31" si="224">IF(AF32="","",AF32/$G30)</f>
        <v>2.140445781437602E-2</v>
      </c>
      <c r="AG31" s="2754"/>
      <c r="AH31" s="2754"/>
      <c r="AI31" s="2755"/>
      <c r="AJ31" s="2753">
        <f t="shared" ref="AJ31" si="225">IF(AJ32="","",AJ32/$G30)</f>
        <v>-1.919069646895653E-2</v>
      </c>
      <c r="AK31" s="2754"/>
      <c r="AL31" s="2754"/>
      <c r="AM31" s="2755"/>
      <c r="AN31" s="2753" t="str">
        <f t="shared" ref="AN31" si="226">IF(AN32="","",AN32/$G30)</f>
        <v/>
      </c>
      <c r="AO31" s="2754"/>
      <c r="AP31" s="2754"/>
      <c r="AQ31" s="2755"/>
      <c r="AR31" s="2753" t="str">
        <f t="shared" ref="AR31" si="227">IF(AR32="","",AR32/$G30)</f>
        <v/>
      </c>
      <c r="AS31" s="2754"/>
      <c r="AT31" s="2754"/>
      <c r="AU31" s="2755"/>
      <c r="AV31" s="2753" t="str">
        <f t="shared" ref="AV31" si="228">IF(AV32="","",AV32/$G30)</f>
        <v/>
      </c>
      <c r="AW31" s="2754"/>
      <c r="AX31" s="2754"/>
      <c r="AY31" s="2755"/>
      <c r="AZ31" s="2753" t="str">
        <f t="shared" ref="AZ31" si="229">IF(AZ32="","",AZ32/$G30)</f>
        <v/>
      </c>
      <c r="BA31" s="2754"/>
      <c r="BB31" s="2754"/>
      <c r="BC31" s="2755"/>
      <c r="BD31" s="2753" t="str">
        <f t="shared" ref="BD31" si="230">IF(BD32="","",BD32/$G30)</f>
        <v/>
      </c>
      <c r="BE31" s="2754"/>
      <c r="BF31" s="2754"/>
      <c r="BG31" s="2755"/>
      <c r="BH31" s="2753" t="str">
        <f t="shared" ref="BH31" si="231">IF(BH32="","",BH32/$G30)</f>
        <v/>
      </c>
      <c r="BI31" s="2754"/>
      <c r="BJ31" s="2754"/>
      <c r="BK31" s="2755"/>
      <c r="BL31" s="2753" t="str">
        <f t="shared" ref="BL31" si="232">IF(BL32="","",BL32/$G30)</f>
        <v/>
      </c>
      <c r="BM31" s="2754"/>
      <c r="BN31" s="2754"/>
      <c r="BO31" s="2755"/>
      <c r="BP31" s="2753" t="str">
        <f t="shared" ref="BP31" si="233">IF(BP32="","",BP32/$G30)</f>
        <v/>
      </c>
      <c r="BQ31" s="2754"/>
      <c r="BR31" s="2754"/>
      <c r="BS31" s="2755"/>
      <c r="BT31" s="2753" t="str">
        <f t="shared" ref="BT31" si="234">IF(BT32="","",BT32/$G30)</f>
        <v/>
      </c>
      <c r="BU31" s="2754"/>
      <c r="BV31" s="2754"/>
      <c r="BW31" s="2755"/>
      <c r="BX31" s="2753" t="str">
        <f t="shared" ref="BX31" si="235">IF(BX32="","",BX32/$G30)</f>
        <v/>
      </c>
      <c r="BY31" s="2754"/>
      <c r="BZ31" s="2754"/>
      <c r="CA31" s="2755"/>
      <c r="CB31" s="2753" t="str">
        <f t="shared" ref="CB31" si="236">IF(CB32="","",CB32/$G30)</f>
        <v/>
      </c>
      <c r="CC31" s="2754"/>
      <c r="CD31" s="2754"/>
      <c r="CE31" s="2755"/>
      <c r="CF31" s="2753" t="str">
        <f t="shared" ref="CF31" si="237">IF(CF32="","",CF32/$G30)</f>
        <v/>
      </c>
      <c r="CG31" s="2754"/>
      <c r="CH31" s="2754"/>
      <c r="CI31" s="2755"/>
      <c r="CJ31" s="1133" t="str">
        <f t="shared" ref="CJ31" si="238">IF(CJ32="","",CJ32/$G30)</f>
        <v/>
      </c>
      <c r="CK31" s="1134"/>
      <c r="CL31" s="1134"/>
      <c r="CM31" s="1135"/>
      <c r="CN31" s="2768">
        <f t="shared" ref="CN31" si="239">IF(CN32="","",CN32/$G30)</f>
        <v>8.7395964113335892E-3</v>
      </c>
      <c r="CO31" s="2769"/>
      <c r="CP31" s="2769"/>
      <c r="CQ31" s="2770"/>
      <c r="CR31" s="2765" t="str">
        <f t="shared" ref="CR31" si="240">IF(CR32="","",CR32/$G30)</f>
        <v/>
      </c>
      <c r="CS31" s="2766"/>
      <c r="CT31" s="2766"/>
      <c r="CU31" s="2767"/>
      <c r="CV31" s="2771" t="str">
        <f t="shared" ref="CV31" si="241">IF(CV32="","",CV32/$G30)</f>
        <v/>
      </c>
      <c r="CW31" s="2772"/>
      <c r="CX31" s="2772"/>
      <c r="CY31" s="2773"/>
      <c r="CZ31" s="2753" t="str">
        <f t="shared" ref="CZ31" si="242">IF(CZ32="","",CZ32/$G30)</f>
        <v/>
      </c>
      <c r="DA31" s="2754"/>
      <c r="DB31" s="2754"/>
      <c r="DC31" s="2755"/>
      <c r="DD31" s="2753" t="str">
        <f t="shared" ref="DD31" si="243">IF(DD32="","",DD32/$G30)</f>
        <v/>
      </c>
      <c r="DE31" s="2754"/>
      <c r="DF31" s="2754"/>
      <c r="DG31" s="2755"/>
      <c r="DH31" s="1320" t="str">
        <f t="shared" ref="DH31" si="244">IF(DH32="","",DH32/$G30)</f>
        <v/>
      </c>
      <c r="DI31" s="1320"/>
      <c r="DJ31" s="1320"/>
      <c r="DK31" s="1320"/>
      <c r="DL31" s="2768" t="str">
        <f t="shared" ref="DL31" si="245">IF(DL32="","",DL32/$G30)</f>
        <v/>
      </c>
      <c r="DM31" s="2769"/>
      <c r="DN31" s="2769"/>
      <c r="DO31" s="2770"/>
      <c r="DP31" s="1417" t="s">
        <v>540</v>
      </c>
      <c r="DQ31" s="1417"/>
      <c r="DR31" s="1417"/>
      <c r="DS31" s="1417"/>
      <c r="DT31" s="2768" t="str">
        <f t="shared" ref="DT31" si="246">IF(DT32="","",DT32/$G30)</f>
        <v/>
      </c>
      <c r="DU31" s="2769"/>
      <c r="DV31" s="2769"/>
      <c r="DW31" s="2770"/>
      <c r="DX31" s="2783">
        <f t="shared" ref="DX31" si="247">IF(DX32="","",DX32/$G30)</f>
        <v>0.22854724967823872</v>
      </c>
      <c r="DY31" s="2784"/>
      <c r="DZ31" s="2784"/>
      <c r="EA31" s="2785"/>
      <c r="EB31" s="2774">
        <f t="shared" ref="EB31" si="248">IF(EB32="","",EB32/$G30)</f>
        <v>0.22854724967823872</v>
      </c>
      <c r="EC31" s="2775"/>
      <c r="ED31" s="2775"/>
      <c r="EE31" s="2776"/>
      <c r="EF31" s="2774">
        <f t="shared" ref="EF31" si="249">IF(EF32="","",EF32/$G30)</f>
        <v>0.22854724967823872</v>
      </c>
      <c r="EG31" s="2775"/>
      <c r="EH31" s="2775"/>
      <c r="EI31" s="2776"/>
      <c r="EJ31" s="2774">
        <f t="shared" ref="EJ31" si="250">IF(EJ32="","",EJ32/$G30)</f>
        <v>0.22854724967823872</v>
      </c>
      <c r="EK31" s="2775"/>
      <c r="EL31" s="2775"/>
      <c r="EM31" s="2776"/>
      <c r="EN31" s="2842">
        <f>EN32/F30</f>
        <v>8.5811001287045122E-2</v>
      </c>
      <c r="EO31" s="2826"/>
      <c r="EQ31">
        <v>128021.93</v>
      </c>
      <c r="ES31" s="978" t="str">
        <f t="shared" si="68"/>
        <v/>
      </c>
      <c r="EU31" t="str">
        <f t="shared" si="69"/>
        <v/>
      </c>
    </row>
    <row r="32" spans="1:151">
      <c r="A32" s="2829"/>
      <c r="B32" s="2836"/>
      <c r="C32" s="2837"/>
      <c r="D32" s="2838"/>
      <c r="E32" s="979" t="s">
        <v>684</v>
      </c>
      <c r="F32" s="2841"/>
      <c r="G32" s="2848"/>
      <c r="H32" s="2843"/>
      <c r="I32" s="2844"/>
      <c r="J32" s="2844"/>
      <c r="K32" s="2845"/>
      <c r="L32" s="2843"/>
      <c r="M32" s="2844"/>
      <c r="N32" s="2844"/>
      <c r="O32" s="2845"/>
      <c r="P32" s="2843"/>
      <c r="Q32" s="2844"/>
      <c r="R32" s="2844"/>
      <c r="S32" s="2845"/>
      <c r="T32" s="2843"/>
      <c r="U32" s="2844"/>
      <c r="V32" s="2844"/>
      <c r="W32" s="2845"/>
      <c r="X32" s="2843"/>
      <c r="Y32" s="2844"/>
      <c r="Z32" s="2844"/>
      <c r="AA32" s="2845"/>
      <c r="AB32" s="2759">
        <v>9583.42</v>
      </c>
      <c r="AC32" s="2760"/>
      <c r="AD32" s="2760"/>
      <c r="AE32" s="2761"/>
      <c r="AF32" s="2759">
        <v>2740.24</v>
      </c>
      <c r="AG32" s="2760"/>
      <c r="AH32" s="2760"/>
      <c r="AI32" s="2761"/>
      <c r="AJ32" s="2798">
        <v>-2456.83</v>
      </c>
      <c r="AK32" s="2799"/>
      <c r="AL32" s="2799"/>
      <c r="AM32" s="2800"/>
      <c r="AN32" s="2798"/>
      <c r="AO32" s="2799"/>
      <c r="AP32" s="2799"/>
      <c r="AQ32" s="2800"/>
      <c r="AR32" s="2798"/>
      <c r="AS32" s="2799"/>
      <c r="AT32" s="2799"/>
      <c r="AU32" s="2800"/>
      <c r="AV32" s="2798"/>
      <c r="AW32" s="2799"/>
      <c r="AX32" s="2799"/>
      <c r="AY32" s="2800"/>
      <c r="AZ32" s="2798"/>
      <c r="BA32" s="2799"/>
      <c r="BB32" s="2799"/>
      <c r="BC32" s="2800"/>
      <c r="BD32" s="2798"/>
      <c r="BE32" s="2799"/>
      <c r="BF32" s="2799"/>
      <c r="BG32" s="2800"/>
      <c r="BH32" s="2798"/>
      <c r="BI32" s="2799"/>
      <c r="BJ32" s="2799"/>
      <c r="BK32" s="2800"/>
      <c r="BL32" s="2798"/>
      <c r="BM32" s="2799"/>
      <c r="BN32" s="2799"/>
      <c r="BO32" s="2800"/>
      <c r="BP32" s="2798"/>
      <c r="BQ32" s="2799"/>
      <c r="BR32" s="2799"/>
      <c r="BS32" s="2800"/>
      <c r="BT32" s="2798"/>
      <c r="BU32" s="2799"/>
      <c r="BV32" s="2799"/>
      <c r="BW32" s="2800"/>
      <c r="BX32" s="2762"/>
      <c r="BY32" s="2763"/>
      <c r="BZ32" s="2763"/>
      <c r="CA32" s="2764"/>
      <c r="CB32" s="2762"/>
      <c r="CC32" s="2763"/>
      <c r="CD32" s="2763"/>
      <c r="CE32" s="2764"/>
      <c r="CF32" s="2762"/>
      <c r="CG32" s="2763"/>
      <c r="CH32" s="2763"/>
      <c r="CI32" s="2764"/>
      <c r="CJ32" s="2762"/>
      <c r="CK32" s="2763"/>
      <c r="CL32" s="2763"/>
      <c r="CM32" s="2764"/>
      <c r="CN32" s="2759">
        <v>1118.8599999999999</v>
      </c>
      <c r="CO32" s="2760"/>
      <c r="CP32" s="2760"/>
      <c r="CQ32" s="2761"/>
      <c r="CR32" s="2762"/>
      <c r="CS32" s="2763"/>
      <c r="CT32" s="2763"/>
      <c r="CU32" s="2764"/>
      <c r="CV32" s="1333"/>
      <c r="CW32" s="1334"/>
      <c r="CX32" s="1334"/>
      <c r="CY32" s="1335"/>
      <c r="CZ32" s="2762"/>
      <c r="DA32" s="2763"/>
      <c r="DB32" s="2763"/>
      <c r="DC32" s="2764"/>
      <c r="DD32" s="2762"/>
      <c r="DE32" s="2763"/>
      <c r="DF32" s="2763"/>
      <c r="DG32" s="2764"/>
      <c r="DH32" s="1319"/>
      <c r="DI32" s="1319"/>
      <c r="DJ32" s="1319"/>
      <c r="DK32" s="1319"/>
      <c r="DL32" s="1364"/>
      <c r="DM32" s="1319"/>
      <c r="DN32" s="1319"/>
      <c r="DO32" s="1365"/>
      <c r="DP32" s="1319"/>
      <c r="DQ32" s="1319"/>
      <c r="DR32" s="1319"/>
      <c r="DS32" s="1319"/>
      <c r="DT32" s="2762"/>
      <c r="DU32" s="2763"/>
      <c r="DV32" s="2763"/>
      <c r="DW32" s="2764"/>
      <c r="DX32" s="2786">
        <f>$ES32/4</f>
        <v>29259.059999999998</v>
      </c>
      <c r="DY32" s="2787"/>
      <c r="DZ32" s="2787"/>
      <c r="EA32" s="2788"/>
      <c r="EB32" s="2777">
        <f t="shared" ref="EB32" si="251">$ES32/4</f>
        <v>29259.059999999998</v>
      </c>
      <c r="EC32" s="2778"/>
      <c r="ED32" s="2778"/>
      <c r="EE32" s="2779"/>
      <c r="EF32" s="2777">
        <f t="shared" ref="EF32" si="252">$ES32/4</f>
        <v>29259.059999999998</v>
      </c>
      <c r="EG32" s="2778"/>
      <c r="EH32" s="2778"/>
      <c r="EI32" s="2779"/>
      <c r="EJ32" s="2777">
        <f t="shared" ref="EJ32" si="253">$ES32/4</f>
        <v>29259.059999999998</v>
      </c>
      <c r="EK32" s="2778"/>
      <c r="EL32" s="2778"/>
      <c r="EM32" s="2779"/>
      <c r="EN32" s="2825">
        <f>SUM(H32:DW32)</f>
        <v>10985.69</v>
      </c>
      <c r="EO32" s="2826"/>
      <c r="ER32" s="978">
        <f>SUM(H32:DW32)</f>
        <v>10985.69</v>
      </c>
      <c r="ES32" s="978">
        <f t="shared" si="68"/>
        <v>117036.23999999999</v>
      </c>
      <c r="ET32" s="978">
        <f>SUM(H32:EM32)</f>
        <v>128021.93</v>
      </c>
      <c r="EU32" t="str">
        <f t="shared" si="69"/>
        <v/>
      </c>
    </row>
    <row r="33" spans="1:151" ht="15" customHeight="1">
      <c r="A33" s="2827">
        <v>8</v>
      </c>
      <c r="B33" s="2830" t="s">
        <v>689</v>
      </c>
      <c r="C33" s="2831"/>
      <c r="D33" s="2832"/>
      <c r="E33" s="979"/>
      <c r="F33" s="2839">
        <f>EQ34</f>
        <v>5226400.17</v>
      </c>
      <c r="G33" s="2846">
        <f t="shared" ref="G33" si="254">F33</f>
        <v>5226400.17</v>
      </c>
      <c r="H33" s="979"/>
      <c r="I33" s="979"/>
      <c r="J33" s="979"/>
      <c r="K33" s="979"/>
      <c r="L33" s="979"/>
      <c r="M33" s="979"/>
      <c r="N33" s="979"/>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c r="AL33" s="979"/>
      <c r="AM33" s="979"/>
      <c r="AN33" s="979"/>
      <c r="AO33" s="979"/>
      <c r="AP33" s="979"/>
      <c r="AQ33" s="979"/>
      <c r="AR33" s="979"/>
      <c r="AS33" s="979"/>
      <c r="AT33" s="979"/>
      <c r="AU33" s="979"/>
      <c r="AV33" s="979"/>
      <c r="AW33" s="979"/>
      <c r="AX33" s="979"/>
      <c r="AY33" s="979"/>
      <c r="AZ33" s="979"/>
      <c r="BA33" s="979"/>
      <c r="BB33" s="979"/>
      <c r="BC33" s="979"/>
      <c r="BD33" s="979"/>
      <c r="BE33" s="979"/>
      <c r="BF33" s="979"/>
      <c r="BG33" s="979"/>
      <c r="BH33" s="979"/>
      <c r="BI33" s="979"/>
      <c r="BJ33" s="979"/>
      <c r="BK33" s="979"/>
      <c r="BL33" s="979"/>
      <c r="BM33" s="979"/>
      <c r="BN33" s="979"/>
      <c r="BO33" s="979"/>
      <c r="BP33" s="979"/>
      <c r="BQ33" s="979"/>
      <c r="BR33" s="979"/>
      <c r="BS33" s="979"/>
      <c r="BT33" s="979"/>
      <c r="BU33" s="979"/>
      <c r="BV33" s="979"/>
      <c r="BW33" s="979"/>
      <c r="BX33" s="979"/>
      <c r="BY33" s="979"/>
      <c r="BZ33" s="979"/>
      <c r="CA33" s="979"/>
      <c r="CB33" s="979"/>
      <c r="CC33" s="979"/>
      <c r="CD33" s="979"/>
      <c r="CE33" s="979"/>
      <c r="CF33" s="979"/>
      <c r="CG33" s="979"/>
      <c r="CH33" s="979"/>
      <c r="CI33" s="979"/>
      <c r="CJ33" s="979"/>
      <c r="CK33" s="979"/>
      <c r="CL33" s="979"/>
      <c r="CM33" s="979"/>
      <c r="CN33" s="979"/>
      <c r="CO33" s="979"/>
      <c r="CP33" s="979"/>
      <c r="CQ33" s="979"/>
      <c r="CR33" s="979"/>
      <c r="CS33" s="979"/>
      <c r="CT33" s="979"/>
      <c r="CU33" s="979"/>
      <c r="CV33" s="979"/>
      <c r="CW33" s="979"/>
      <c r="CX33" s="979"/>
      <c r="CY33" s="979"/>
      <c r="CZ33" s="979"/>
      <c r="DA33" s="979"/>
      <c r="DB33" s="979"/>
      <c r="DC33" s="979"/>
      <c r="DD33" s="979"/>
      <c r="DE33" s="979"/>
      <c r="DF33" s="979"/>
      <c r="DG33" s="979"/>
      <c r="DH33" s="979"/>
      <c r="DI33" s="979"/>
      <c r="DJ33" s="979"/>
      <c r="DK33" s="1391"/>
      <c r="DL33" s="979"/>
      <c r="DM33" s="979"/>
      <c r="DN33" s="979"/>
      <c r="DO33" s="979"/>
      <c r="DP33" s="979"/>
      <c r="DQ33" s="979"/>
      <c r="DR33" s="979"/>
      <c r="DS33" s="979"/>
      <c r="DT33" s="979"/>
      <c r="DU33" s="979"/>
      <c r="DV33" s="979"/>
      <c r="DW33" s="979"/>
      <c r="DX33" s="1393"/>
      <c r="DY33" s="1393"/>
      <c r="DZ33" s="1393"/>
      <c r="EA33" s="1393"/>
      <c r="EB33" s="1392"/>
      <c r="EC33" s="1392"/>
      <c r="ED33" s="1392"/>
      <c r="EE33" s="1392"/>
      <c r="EF33" s="1392"/>
      <c r="EG33" s="1392"/>
      <c r="EH33" s="1392"/>
      <c r="EI33" s="1392"/>
      <c r="EJ33" s="1392"/>
      <c r="EK33" s="1392"/>
      <c r="EL33" s="1392"/>
      <c r="EM33" s="1392"/>
      <c r="EN33" s="2825"/>
      <c r="EO33" s="2826"/>
      <c r="ES33" s="978" t="str">
        <f t="shared" si="68"/>
        <v/>
      </c>
      <c r="EU33" t="str">
        <f t="shared" si="69"/>
        <v/>
      </c>
    </row>
    <row r="34" spans="1:151">
      <c r="A34" s="2828"/>
      <c r="B34" s="2833"/>
      <c r="C34" s="2834"/>
      <c r="D34" s="2835"/>
      <c r="E34" s="980" t="s">
        <v>683</v>
      </c>
      <c r="F34" s="2840"/>
      <c r="G34" s="2847"/>
      <c r="H34" s="2753" t="str">
        <f>IF(H35="","",H35/$G33)</f>
        <v/>
      </c>
      <c r="I34" s="2754"/>
      <c r="J34" s="2754"/>
      <c r="K34" s="2755"/>
      <c r="L34" s="2753" t="str">
        <f t="shared" ref="L34" si="255">IF(L35="","",L35/$G33)</f>
        <v/>
      </c>
      <c r="M34" s="2754"/>
      <c r="N34" s="2754"/>
      <c r="O34" s="2755"/>
      <c r="P34" s="2753" t="str">
        <f t="shared" ref="P34" si="256">IF(P35="","",P35/$G33)</f>
        <v/>
      </c>
      <c r="Q34" s="2754"/>
      <c r="R34" s="2754"/>
      <c r="S34" s="2755"/>
      <c r="T34" s="2753" t="str">
        <f t="shared" ref="T34" si="257">IF(T35="","",T35/$G33)</f>
        <v/>
      </c>
      <c r="U34" s="2754"/>
      <c r="V34" s="2754"/>
      <c r="W34" s="2755"/>
      <c r="X34" s="2753" t="str">
        <f t="shared" ref="X34" si="258">IF(X35="","",X35/$G33)</f>
        <v/>
      </c>
      <c r="Y34" s="2754"/>
      <c r="Z34" s="2754"/>
      <c r="AA34" s="2755"/>
      <c r="AB34" s="2753" t="str">
        <f t="shared" ref="AB34" si="259">IF(AB35="","",AB35/$G33)</f>
        <v/>
      </c>
      <c r="AC34" s="2754"/>
      <c r="AD34" s="2754"/>
      <c r="AE34" s="2755"/>
      <c r="AF34" s="2753">
        <f t="shared" ref="AF34" si="260">IF(AF35="","",AF35/$G33)</f>
        <v>6.1772227441206438E-2</v>
      </c>
      <c r="AG34" s="2754"/>
      <c r="AH34" s="2754"/>
      <c r="AI34" s="2755"/>
      <c r="AJ34" s="2753">
        <f t="shared" ref="AJ34" si="261">IF(AJ35="","",AJ35/$G33)</f>
        <v>9.4278377845682645E-2</v>
      </c>
      <c r="AK34" s="2754"/>
      <c r="AL34" s="2754"/>
      <c r="AM34" s="2755"/>
      <c r="AN34" s="2753">
        <f t="shared" ref="AN34" si="262">IF(AN35="","",AN35/$G33)</f>
        <v>4.834680119796491E-2</v>
      </c>
      <c r="AO34" s="2754"/>
      <c r="AP34" s="2754"/>
      <c r="AQ34" s="2755"/>
      <c r="AR34" s="2753">
        <f t="shared" ref="AR34" si="263">IF(AR35="","",AR35/$G33)</f>
        <v>4.209839331916293E-2</v>
      </c>
      <c r="AS34" s="2754"/>
      <c r="AT34" s="2754"/>
      <c r="AU34" s="2755"/>
      <c r="AV34" s="2753">
        <f t="shared" ref="AV34" si="264">IF(AV35="","",AV35/$G33)</f>
        <v>1.0815585902600337E-2</v>
      </c>
      <c r="AW34" s="2754"/>
      <c r="AX34" s="2754"/>
      <c r="AY34" s="2755"/>
      <c r="AZ34" s="2753">
        <f t="shared" ref="AZ34" si="265">IF(AZ35="","",AZ35/$G33)</f>
        <v>8.5607432543765589E-3</v>
      </c>
      <c r="BA34" s="2754"/>
      <c r="BB34" s="2754"/>
      <c r="BC34" s="2755"/>
      <c r="BD34" s="2753">
        <f t="shared" ref="BD34" si="266">IF(BD35="","",BD35/$G33)</f>
        <v>6.8662032819427218E-2</v>
      </c>
      <c r="BE34" s="2754"/>
      <c r="BF34" s="2754"/>
      <c r="BG34" s="2755"/>
      <c r="BH34" s="2753" t="str">
        <f t="shared" ref="BH34" si="267">IF(BH35="","",BH35/$G33)</f>
        <v/>
      </c>
      <c r="BI34" s="2754"/>
      <c r="BJ34" s="2754"/>
      <c r="BK34" s="2755"/>
      <c r="BL34" s="2753" t="str">
        <f t="shared" ref="BL34" si="268">IF(BL35="","",BL35/$G33)</f>
        <v/>
      </c>
      <c r="BM34" s="2754"/>
      <c r="BN34" s="2754"/>
      <c r="BO34" s="2755"/>
      <c r="BP34" s="2753" t="str">
        <f t="shared" ref="BP34" si="269">IF(BP35="","",BP35/$G33)</f>
        <v/>
      </c>
      <c r="BQ34" s="2754"/>
      <c r="BR34" s="2754"/>
      <c r="BS34" s="2755"/>
      <c r="BT34" s="2753" t="str">
        <f t="shared" ref="BT34" si="270">IF(BT35="","",BT35/$G33)</f>
        <v/>
      </c>
      <c r="BU34" s="2754"/>
      <c r="BV34" s="2754"/>
      <c r="BW34" s="2755"/>
      <c r="BX34" s="2753">
        <f t="shared" ref="BX34" si="271">IF(BX35="","",BX35/$G33)</f>
        <v>2.7796972155693163E-2</v>
      </c>
      <c r="BY34" s="2754"/>
      <c r="BZ34" s="2754"/>
      <c r="CA34" s="2755"/>
      <c r="CB34" s="2753">
        <f t="shared" ref="CB34" si="272">IF(CB35="","",CB35/$G33)</f>
        <v>3.0530193787285154E-2</v>
      </c>
      <c r="CC34" s="2754"/>
      <c r="CD34" s="2754"/>
      <c r="CE34" s="2755"/>
      <c r="CF34" s="2753">
        <f t="shared" ref="CF34" si="273">IF(CF35="","",CF35/$G33)</f>
        <v>2.2759640695480844E-2</v>
      </c>
      <c r="CG34" s="2754"/>
      <c r="CH34" s="2754"/>
      <c r="CI34" s="2755"/>
      <c r="CJ34" s="2753">
        <f t="shared" ref="CJ34" si="274">IF(CJ35="","",CJ35/$G33)</f>
        <v>5.2261857323489258E-2</v>
      </c>
      <c r="CK34" s="2754"/>
      <c r="CL34" s="2754"/>
      <c r="CM34" s="2755"/>
      <c r="CN34" s="2768">
        <f t="shared" ref="CN34" si="275">IF(CN35="","",CN35/$G33)</f>
        <v>1.385648202288345E-2</v>
      </c>
      <c r="CO34" s="2769"/>
      <c r="CP34" s="2769"/>
      <c r="CQ34" s="2770"/>
      <c r="CR34" s="2765">
        <f t="shared" ref="CR34" si="276">IF(CR35="","",CR35/$G33)</f>
        <v>1.2353074372412627E-2</v>
      </c>
      <c r="CS34" s="2766"/>
      <c r="CT34" s="2766"/>
      <c r="CU34" s="2767"/>
      <c r="CV34" s="2771">
        <f t="shared" ref="CV34" si="277">IF(CV35="","",CV35/$G33)</f>
        <v>1.4315729290970081E-2</v>
      </c>
      <c r="CW34" s="2772"/>
      <c r="CX34" s="2772"/>
      <c r="CY34" s="2773"/>
      <c r="CZ34" s="2753" t="str">
        <f t="shared" ref="CZ34" si="278">IF(CZ35="","",CZ35/$G33)</f>
        <v/>
      </c>
      <c r="DA34" s="2754"/>
      <c r="DB34" s="2754"/>
      <c r="DC34" s="2755"/>
      <c r="DD34" s="2753" t="str">
        <f t="shared" ref="DD34" si="279">IF(DD35="","",DD35/$G33)</f>
        <v/>
      </c>
      <c r="DE34" s="2754"/>
      <c r="DF34" s="2754"/>
      <c r="DG34" s="2755"/>
      <c r="DH34" s="1320" t="str">
        <f t="shared" ref="DH34" si="280">IF(DH35="","",DH35/$G33)</f>
        <v/>
      </c>
      <c r="DI34" s="1320"/>
      <c r="DJ34" s="1320"/>
      <c r="DK34" s="1320"/>
      <c r="DL34" s="2768">
        <f t="shared" ref="DL34" si="281">IF(DL35="","",DL35/$G33)</f>
        <v>7.4159151116053911E-3</v>
      </c>
      <c r="DM34" s="2769"/>
      <c r="DN34" s="2769"/>
      <c r="DO34" s="2770"/>
      <c r="DP34" s="2768">
        <f t="shared" ref="DP34" si="282">IF(DP35="","",DP35/$G33)</f>
        <v>9.7475027443220067E-3</v>
      </c>
      <c r="DQ34" s="2769"/>
      <c r="DR34" s="2769"/>
      <c r="DS34" s="2770"/>
      <c r="DT34" s="2768">
        <f t="shared" ref="DT34" si="283">IF(DT35="","",DT35/$G33)</f>
        <v>1.2232450237349512E-2</v>
      </c>
      <c r="DU34" s="2769"/>
      <c r="DV34" s="2769"/>
      <c r="DW34" s="2770"/>
      <c r="DX34" s="2783">
        <f t="shared" ref="DX34" si="284">IF(DX35="","",DX35/$G33)</f>
        <v>0.11554900511952185</v>
      </c>
      <c r="DY34" s="2784"/>
      <c r="DZ34" s="2784"/>
      <c r="EA34" s="2785"/>
      <c r="EB34" s="2774">
        <f t="shared" ref="EB34" si="285">IF(EB35="","",EB35/$G33)</f>
        <v>0.11554900511952185</v>
      </c>
      <c r="EC34" s="2775"/>
      <c r="ED34" s="2775"/>
      <c r="EE34" s="2776"/>
      <c r="EF34" s="2774">
        <f t="shared" ref="EF34" si="286">IF(EF35="","",EF35/$G33)</f>
        <v>0.11554900511952185</v>
      </c>
      <c r="EG34" s="2775"/>
      <c r="EH34" s="2775"/>
      <c r="EI34" s="2776"/>
      <c r="EJ34" s="2774">
        <f t="shared" ref="EJ34" si="287">IF(EJ35="","",EJ35/$G33)</f>
        <v>0.11554900511952185</v>
      </c>
      <c r="EK34" s="2775"/>
      <c r="EL34" s="2775"/>
      <c r="EM34" s="2776"/>
      <c r="EN34" s="2842">
        <f>EN35/F33</f>
        <v>0.53780397952191261</v>
      </c>
      <c r="EO34" s="2826"/>
      <c r="EQ34">
        <v>5226400.17</v>
      </c>
      <c r="ES34" s="978" t="str">
        <f t="shared" si="68"/>
        <v/>
      </c>
      <c r="EU34" t="str">
        <f t="shared" si="69"/>
        <v/>
      </c>
    </row>
    <row r="35" spans="1:151">
      <c r="A35" s="2829"/>
      <c r="B35" s="2836"/>
      <c r="C35" s="2837"/>
      <c r="D35" s="2838"/>
      <c r="E35" s="979" t="s">
        <v>684</v>
      </c>
      <c r="F35" s="2841"/>
      <c r="G35" s="2848"/>
      <c r="H35" s="2843"/>
      <c r="I35" s="2844"/>
      <c r="J35" s="2844"/>
      <c r="K35" s="2845"/>
      <c r="L35" s="2843"/>
      <c r="M35" s="2844"/>
      <c r="N35" s="2844"/>
      <c r="O35" s="2845"/>
      <c r="P35" s="2798"/>
      <c r="Q35" s="2799"/>
      <c r="R35" s="2799"/>
      <c r="S35" s="2800"/>
      <c r="T35" s="2798"/>
      <c r="U35" s="2799"/>
      <c r="V35" s="2799"/>
      <c r="W35" s="2800"/>
      <c r="X35" s="2798"/>
      <c r="Y35" s="2799"/>
      <c r="Z35" s="2799"/>
      <c r="AA35" s="2800"/>
      <c r="AB35" s="2798"/>
      <c r="AC35" s="2799"/>
      <c r="AD35" s="2799"/>
      <c r="AE35" s="2800"/>
      <c r="AF35" s="2759">
        <v>322846.38</v>
      </c>
      <c r="AG35" s="2760"/>
      <c r="AH35" s="2760"/>
      <c r="AI35" s="2761"/>
      <c r="AJ35" s="2759">
        <v>492736.53</v>
      </c>
      <c r="AK35" s="2760"/>
      <c r="AL35" s="2760"/>
      <c r="AM35" s="2761"/>
      <c r="AN35" s="2759">
        <v>252679.73</v>
      </c>
      <c r="AO35" s="2760"/>
      <c r="AP35" s="2760"/>
      <c r="AQ35" s="2761"/>
      <c r="AR35" s="2759">
        <v>220023.05</v>
      </c>
      <c r="AS35" s="2760"/>
      <c r="AT35" s="2760"/>
      <c r="AU35" s="2761"/>
      <c r="AV35" s="2759">
        <v>56526.58</v>
      </c>
      <c r="AW35" s="2760"/>
      <c r="AX35" s="2760"/>
      <c r="AY35" s="2761"/>
      <c r="AZ35" s="2759">
        <v>44741.87</v>
      </c>
      <c r="BA35" s="2760"/>
      <c r="BB35" s="2760"/>
      <c r="BC35" s="2761"/>
      <c r="BD35" s="2759">
        <v>358855.26</v>
      </c>
      <c r="BE35" s="2760"/>
      <c r="BF35" s="2760"/>
      <c r="BG35" s="2761"/>
      <c r="BH35" s="2798"/>
      <c r="BI35" s="2799"/>
      <c r="BJ35" s="2799"/>
      <c r="BK35" s="2800"/>
      <c r="BL35" s="2798"/>
      <c r="BM35" s="2799"/>
      <c r="BN35" s="2799"/>
      <c r="BO35" s="2800"/>
      <c r="BP35" s="2798"/>
      <c r="BQ35" s="2799"/>
      <c r="BR35" s="2799"/>
      <c r="BS35" s="2800"/>
      <c r="BT35" s="2762"/>
      <c r="BU35" s="2763"/>
      <c r="BV35" s="2763"/>
      <c r="BW35" s="2764"/>
      <c r="BX35" s="2759">
        <v>145278.1</v>
      </c>
      <c r="BY35" s="2760"/>
      <c r="BZ35" s="2760"/>
      <c r="CA35" s="2761"/>
      <c r="CB35" s="2759">
        <f>'[43]11 - FINANCEIRA'!O59</f>
        <v>159563.01000000007</v>
      </c>
      <c r="CC35" s="2760"/>
      <c r="CD35" s="2760"/>
      <c r="CE35" s="2761"/>
      <c r="CF35" s="2759">
        <v>118950.99</v>
      </c>
      <c r="CG35" s="2760"/>
      <c r="CH35" s="2760"/>
      <c r="CI35" s="2761"/>
      <c r="CJ35" s="2759">
        <v>273141.38</v>
      </c>
      <c r="CK35" s="2760"/>
      <c r="CL35" s="2760"/>
      <c r="CM35" s="2761"/>
      <c r="CN35" s="2759">
        <v>72419.520000000004</v>
      </c>
      <c r="CO35" s="2760"/>
      <c r="CP35" s="2760"/>
      <c r="CQ35" s="2761"/>
      <c r="CR35" s="2759">
        <v>64562.109999999993</v>
      </c>
      <c r="CS35" s="2760"/>
      <c r="CT35" s="2760"/>
      <c r="CU35" s="2761"/>
      <c r="CV35" s="2759">
        <v>74819.73000000001</v>
      </c>
      <c r="CW35" s="2760"/>
      <c r="CX35" s="2760"/>
      <c r="CY35" s="2761"/>
      <c r="CZ35" s="2801"/>
      <c r="DA35" s="2802"/>
      <c r="DB35" s="2802"/>
      <c r="DC35" s="2803"/>
      <c r="DD35" s="2801"/>
      <c r="DE35" s="2802"/>
      <c r="DF35" s="2802"/>
      <c r="DG35" s="2803"/>
      <c r="DH35" s="1336"/>
      <c r="DI35" s="1336"/>
      <c r="DJ35" s="1336"/>
      <c r="DK35" s="1336"/>
      <c r="DL35" s="2759">
        <v>38758.539999999986</v>
      </c>
      <c r="DM35" s="2760"/>
      <c r="DN35" s="2760"/>
      <c r="DO35" s="2761"/>
      <c r="DP35" s="2759">
        <v>50944.35</v>
      </c>
      <c r="DQ35" s="2760"/>
      <c r="DR35" s="2760"/>
      <c r="DS35" s="2761"/>
      <c r="DT35" s="2759">
        <f>'11 - FINANCEIRA'!AA59</f>
        <v>63931.680000000029</v>
      </c>
      <c r="DU35" s="2760"/>
      <c r="DV35" s="2760"/>
      <c r="DW35" s="2761"/>
      <c r="DX35" s="2786">
        <f>$ES35/4</f>
        <v>603905.33999999985</v>
      </c>
      <c r="DY35" s="2787"/>
      <c r="DZ35" s="2787"/>
      <c r="EA35" s="2788"/>
      <c r="EB35" s="2777">
        <f t="shared" ref="EB35" si="288">$ES35/4</f>
        <v>603905.33999999985</v>
      </c>
      <c r="EC35" s="2778"/>
      <c r="ED35" s="2778"/>
      <c r="EE35" s="2779"/>
      <c r="EF35" s="2777">
        <f t="shared" ref="EF35" si="289">$ES35/4</f>
        <v>603905.33999999985</v>
      </c>
      <c r="EG35" s="2778"/>
      <c r="EH35" s="2778"/>
      <c r="EI35" s="2779"/>
      <c r="EJ35" s="2777">
        <f t="shared" ref="EJ35" si="290">$ES35/4</f>
        <v>603905.33999999985</v>
      </c>
      <c r="EK35" s="2778"/>
      <c r="EL35" s="2778"/>
      <c r="EM35" s="2779"/>
      <c r="EN35" s="2825">
        <f>SUM(H35:DW35)</f>
        <v>2810778.8100000005</v>
      </c>
      <c r="EO35" s="2826"/>
      <c r="ER35" s="978">
        <f>SUM(H35:DW35)</f>
        <v>2810778.8100000005</v>
      </c>
      <c r="ES35" s="978">
        <f t="shared" si="68"/>
        <v>2415621.3599999994</v>
      </c>
      <c r="ET35" s="978">
        <f>SUM(H35:EM35)</f>
        <v>5226400.17</v>
      </c>
      <c r="EU35" t="str">
        <f t="shared" si="69"/>
        <v/>
      </c>
    </row>
    <row r="36" spans="1:151" ht="15" customHeight="1">
      <c r="A36" s="2827">
        <v>9</v>
      </c>
      <c r="B36" s="2830" t="s">
        <v>690</v>
      </c>
      <c r="C36" s="2831"/>
      <c r="D36" s="2832"/>
      <c r="E36" s="979"/>
      <c r="F36" s="2839">
        <f>EQ37</f>
        <v>1441335.42</v>
      </c>
      <c r="G36" s="2846">
        <f t="shared" ref="G36" si="291">F36</f>
        <v>1441335.42</v>
      </c>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c r="AL36" s="979"/>
      <c r="AM36" s="979"/>
      <c r="AN36" s="979"/>
      <c r="AO36" s="979"/>
      <c r="AP36" s="979"/>
      <c r="AQ36" s="979"/>
      <c r="AR36" s="979"/>
      <c r="AS36" s="979"/>
      <c r="AT36" s="979"/>
      <c r="AU36" s="979"/>
      <c r="AV36" s="979"/>
      <c r="AW36" s="979"/>
      <c r="AX36" s="979"/>
      <c r="AY36" s="979"/>
      <c r="AZ36" s="979"/>
      <c r="BA36" s="979"/>
      <c r="BB36" s="979"/>
      <c r="BC36" s="979"/>
      <c r="BD36" s="979"/>
      <c r="BE36" s="979"/>
      <c r="BF36" s="979"/>
      <c r="BG36" s="979"/>
      <c r="BH36" s="979"/>
      <c r="BI36" s="979"/>
      <c r="BJ36" s="979"/>
      <c r="BK36" s="979"/>
      <c r="BL36" s="979"/>
      <c r="BM36" s="979"/>
      <c r="BN36" s="979"/>
      <c r="BO36" s="979"/>
      <c r="BP36" s="979"/>
      <c r="BQ36" s="979"/>
      <c r="BR36" s="979"/>
      <c r="BS36" s="979"/>
      <c r="BT36" s="979"/>
      <c r="BU36" s="979"/>
      <c r="BV36" s="979"/>
      <c r="BW36" s="979"/>
      <c r="BX36" s="979"/>
      <c r="BY36" s="979"/>
      <c r="BZ36" s="979"/>
      <c r="CA36" s="979"/>
      <c r="CB36" s="979"/>
      <c r="CC36" s="979"/>
      <c r="CD36" s="979"/>
      <c r="CE36" s="979"/>
      <c r="CF36" s="979"/>
      <c r="CG36" s="979"/>
      <c r="CH36" s="979"/>
      <c r="CI36" s="979"/>
      <c r="CJ36" s="979"/>
      <c r="CK36" s="979"/>
      <c r="CL36" s="979"/>
      <c r="CM36" s="979"/>
      <c r="CN36" s="979"/>
      <c r="CO36" s="979"/>
      <c r="CP36" s="979"/>
      <c r="CQ36" s="979"/>
      <c r="CR36" s="979"/>
      <c r="CS36" s="979"/>
      <c r="CT36" s="979"/>
      <c r="CU36" s="979"/>
      <c r="CV36" s="979"/>
      <c r="CW36" s="979"/>
      <c r="CX36" s="979"/>
      <c r="CY36" s="979"/>
      <c r="CZ36" s="979"/>
      <c r="DA36" s="979"/>
      <c r="DB36" s="979"/>
      <c r="DC36" s="979"/>
      <c r="DD36" s="979"/>
      <c r="DE36" s="979"/>
      <c r="DF36" s="979"/>
      <c r="DG36" s="979"/>
      <c r="DH36" s="979"/>
      <c r="DI36" s="979"/>
      <c r="DJ36" s="979"/>
      <c r="DK36" s="1391"/>
      <c r="DL36" s="979"/>
      <c r="DM36" s="979"/>
      <c r="DN36" s="979"/>
      <c r="DO36" s="979"/>
      <c r="DP36" s="979"/>
      <c r="DQ36" s="979"/>
      <c r="DR36" s="979"/>
      <c r="DS36" s="979"/>
      <c r="DT36" s="979"/>
      <c r="DU36" s="979"/>
      <c r="DV36" s="979"/>
      <c r="DW36" s="979"/>
      <c r="DX36" s="1393"/>
      <c r="DY36" s="1393"/>
      <c r="DZ36" s="1393"/>
      <c r="EA36" s="1393"/>
      <c r="EB36" s="1392"/>
      <c r="EC36" s="1392"/>
      <c r="ED36" s="1392"/>
      <c r="EE36" s="1392"/>
      <c r="EF36" s="1392"/>
      <c r="EG36" s="1392"/>
      <c r="EH36" s="1392"/>
      <c r="EI36" s="1392"/>
      <c r="EJ36" s="1392"/>
      <c r="EK36" s="1392"/>
      <c r="EL36" s="1392"/>
      <c r="EM36" s="1392"/>
      <c r="EN36" s="2825"/>
      <c r="EO36" s="2826"/>
      <c r="ES36" s="978" t="str">
        <f t="shared" si="68"/>
        <v/>
      </c>
      <c r="EU36" t="str">
        <f t="shared" si="69"/>
        <v/>
      </c>
    </row>
    <row r="37" spans="1:151">
      <c r="A37" s="2828"/>
      <c r="B37" s="2833"/>
      <c r="C37" s="2834"/>
      <c r="D37" s="2835"/>
      <c r="E37" s="980" t="s">
        <v>683</v>
      </c>
      <c r="F37" s="2840"/>
      <c r="G37" s="2847"/>
      <c r="H37" s="2753" t="str">
        <f>IF(H38="","",H38/$G36)</f>
        <v/>
      </c>
      <c r="I37" s="2754"/>
      <c r="J37" s="2754"/>
      <c r="K37" s="2755"/>
      <c r="L37" s="2753">
        <f t="shared" ref="L37" si="292">IF(L38="","",L38/$G36)</f>
        <v>4.1023324050414305E-2</v>
      </c>
      <c r="M37" s="2754"/>
      <c r="N37" s="2754"/>
      <c r="O37" s="2755"/>
      <c r="P37" s="2753">
        <f t="shared" ref="P37" si="293">IF(P38="","",P38/$G36)</f>
        <v>4.2538585501492782E-2</v>
      </c>
      <c r="Q37" s="2754"/>
      <c r="R37" s="2754"/>
      <c r="S37" s="2755"/>
      <c r="T37" s="2753">
        <f t="shared" ref="T37" si="294">IF(T38="","",T38/$G36)</f>
        <v>-2.4491453904601887E-3</v>
      </c>
      <c r="U37" s="2754"/>
      <c r="V37" s="2754"/>
      <c r="W37" s="2755"/>
      <c r="X37" s="2753">
        <f t="shared" ref="X37" si="295">IF(X38="","",X38/$G36)</f>
        <v>2.2279921491140487E-2</v>
      </c>
      <c r="Y37" s="2754"/>
      <c r="Z37" s="2754"/>
      <c r="AA37" s="2755"/>
      <c r="AB37" s="2753">
        <f t="shared" ref="AB37" si="296">IF(AB38="","",AB38/$G36)</f>
        <v>5.1212860640030625E-2</v>
      </c>
      <c r="AC37" s="2754"/>
      <c r="AD37" s="2754"/>
      <c r="AE37" s="2755"/>
      <c r="AF37" s="2753">
        <f t="shared" ref="AF37" si="297">IF(AF38="","",AF38/$G36)</f>
        <v>2.1475924042718662E-2</v>
      </c>
      <c r="AG37" s="2754"/>
      <c r="AH37" s="2754"/>
      <c r="AI37" s="2755"/>
      <c r="AJ37" s="2753">
        <f t="shared" ref="AJ37" si="298">IF(AJ38="","",AJ38/$G36)</f>
        <v>7.0043529492947593E-2</v>
      </c>
      <c r="AK37" s="2754"/>
      <c r="AL37" s="2754"/>
      <c r="AM37" s="2755"/>
      <c r="AN37" s="2753">
        <f t="shared" ref="AN37" si="299">IF(AN38="","",AN38/$G36)</f>
        <v>2.5041700564050525E-2</v>
      </c>
      <c r="AO37" s="2754"/>
      <c r="AP37" s="2754"/>
      <c r="AQ37" s="2755"/>
      <c r="AR37" s="2753">
        <f t="shared" ref="AR37" si="300">IF(AR38="","",AR38/$G36)</f>
        <v>7.1910034653835123E-2</v>
      </c>
      <c r="AS37" s="2754"/>
      <c r="AT37" s="2754"/>
      <c r="AU37" s="2755"/>
      <c r="AV37" s="2753">
        <f t="shared" ref="AV37" si="301">IF(AV38="","",AV38/$G36)</f>
        <v>2.3882650438161027E-2</v>
      </c>
      <c r="AW37" s="2754"/>
      <c r="AX37" s="2754"/>
      <c r="AY37" s="2755"/>
      <c r="AZ37" s="2753">
        <f t="shared" ref="AZ37" si="302">IF(AZ38="","",AZ38/$G36)</f>
        <v>-0.13564694052963744</v>
      </c>
      <c r="BA37" s="2754"/>
      <c r="BB37" s="2754"/>
      <c r="BC37" s="2755"/>
      <c r="BD37" s="2753" t="str">
        <f t="shared" ref="BD37" si="303">IF(BD38="","",BD38/$G36)</f>
        <v/>
      </c>
      <c r="BE37" s="2754"/>
      <c r="BF37" s="2754"/>
      <c r="BG37" s="2755"/>
      <c r="BH37" s="2753">
        <f t="shared" ref="BH37" si="304">IF(BH38="","",BH38/$G36)</f>
        <v>9.3805201845383088E-2</v>
      </c>
      <c r="BI37" s="2754"/>
      <c r="BJ37" s="2754"/>
      <c r="BK37" s="2755"/>
      <c r="BL37" s="2753">
        <f t="shared" ref="BL37" si="305">IF(BL38="","",BL38/$G36)</f>
        <v>1.7241892244624087E-2</v>
      </c>
      <c r="BM37" s="2754"/>
      <c r="BN37" s="2754"/>
      <c r="BO37" s="2755"/>
      <c r="BP37" s="2753">
        <f t="shared" ref="BP37" si="306">IF(BP38="","",BP38/$G36)</f>
        <v>8.9039496441432081E-2</v>
      </c>
      <c r="BQ37" s="2754"/>
      <c r="BR37" s="2754"/>
      <c r="BS37" s="2755"/>
      <c r="BT37" s="2753" t="str">
        <f t="shared" ref="BT37" si="307">IF(BT38="","",BT38/$G36)</f>
        <v/>
      </c>
      <c r="BU37" s="2754"/>
      <c r="BV37" s="2754"/>
      <c r="BW37" s="2755"/>
      <c r="BX37" s="2753" t="str">
        <f t="shared" ref="BX37" si="308">IF(BX38="","",BX38/$G36)</f>
        <v/>
      </c>
      <c r="BY37" s="2754"/>
      <c r="BZ37" s="2754"/>
      <c r="CA37" s="2755"/>
      <c r="CB37" s="2753" t="str">
        <f t="shared" ref="CB37" si="309">IF(CB38="","",CB38/$G36)</f>
        <v/>
      </c>
      <c r="CC37" s="2754"/>
      <c r="CD37" s="2754"/>
      <c r="CE37" s="2755"/>
      <c r="CF37" s="2753" t="str">
        <f t="shared" ref="CF37" si="310">IF(CF38="","",CF38/$G36)</f>
        <v/>
      </c>
      <c r="CG37" s="2754"/>
      <c r="CH37" s="2754"/>
      <c r="CI37" s="2755"/>
      <c r="CJ37" s="1133" t="str">
        <f t="shared" ref="CJ37" si="311">IF(CJ38="","",CJ38/$G36)</f>
        <v/>
      </c>
      <c r="CK37" s="1134"/>
      <c r="CL37" s="1134"/>
      <c r="CM37" s="1135"/>
      <c r="CN37" s="2768">
        <f t="shared" ref="CN37" si="312">IF(CN38="","",CN38/$G36)</f>
        <v>6.2523545005228557E-3</v>
      </c>
      <c r="CO37" s="2769"/>
      <c r="CP37" s="2769"/>
      <c r="CQ37" s="2770"/>
      <c r="CR37" s="2765">
        <f t="shared" ref="CR37" si="313">IF(CR38="","",CR38/$G36)</f>
        <v>8.1658348477969156E-2</v>
      </c>
      <c r="CS37" s="2766"/>
      <c r="CT37" s="2766"/>
      <c r="CU37" s="2767"/>
      <c r="CV37" s="2771">
        <f t="shared" ref="CV37" si="314">IF(CV38="","",CV38/$G36)</f>
        <v>9.0137936109277721E-4</v>
      </c>
      <c r="CW37" s="2772"/>
      <c r="CX37" s="2772"/>
      <c r="CY37" s="2773"/>
      <c r="CZ37" s="2753" t="str">
        <f t="shared" ref="CZ37" si="315">IF(CZ38="","",CZ38/$G36)</f>
        <v/>
      </c>
      <c r="DA37" s="2754"/>
      <c r="DB37" s="2754"/>
      <c r="DC37" s="2755"/>
      <c r="DD37" s="2753" t="str">
        <f t="shared" ref="DD37" si="316">IF(DD38="","",DD38/$G36)</f>
        <v/>
      </c>
      <c r="DE37" s="2754"/>
      <c r="DF37" s="2754"/>
      <c r="DG37" s="2755"/>
      <c r="DH37" s="1320" t="str">
        <f t="shared" ref="DH37" si="317">IF(DH38="","",DH38/$G36)</f>
        <v/>
      </c>
      <c r="DI37" s="1320"/>
      <c r="DJ37" s="1320"/>
      <c r="DK37" s="1320"/>
      <c r="DL37" s="2768">
        <f t="shared" ref="DL37" si="318">IF(DL38="","",DL38/$G36)</f>
        <v>5.6788509367236638E-2</v>
      </c>
      <c r="DM37" s="2769"/>
      <c r="DN37" s="2769"/>
      <c r="DO37" s="2770"/>
      <c r="DP37" s="2768">
        <f t="shared" ref="DP37" si="319">IF(DP38="","",DP38/$G36)</f>
        <v>8.6460707390372746E-2</v>
      </c>
      <c r="DQ37" s="2769"/>
      <c r="DR37" s="2769"/>
      <c r="DS37" s="2770"/>
      <c r="DT37" s="2768">
        <f t="shared" ref="DT37" si="320">IF(DT38="","",DT38/$G36)</f>
        <v>-1.4599044544398953E-2</v>
      </c>
      <c r="DU37" s="2769"/>
      <c r="DV37" s="2769"/>
      <c r="DW37" s="2770"/>
      <c r="DX37" s="2783">
        <f t="shared" ref="DX37" si="321">IF(DX38="","",DX38/$G36)</f>
        <v>8.7784677490268012E-2</v>
      </c>
      <c r="DY37" s="2784"/>
      <c r="DZ37" s="2784"/>
      <c r="EA37" s="2785"/>
      <c r="EB37" s="2774">
        <f t="shared" ref="EB37" si="322">IF(EB38="","",EB38/$G36)</f>
        <v>8.7784677490268012E-2</v>
      </c>
      <c r="EC37" s="2775"/>
      <c r="ED37" s="2775"/>
      <c r="EE37" s="2776"/>
      <c r="EF37" s="2774">
        <f t="shared" ref="EF37" si="323">IF(EF38="","",EF38/$G36)</f>
        <v>8.7784677490268012E-2</v>
      </c>
      <c r="EG37" s="2775"/>
      <c r="EH37" s="2775"/>
      <c r="EI37" s="2776"/>
      <c r="EJ37" s="2774">
        <f t="shared" ref="EJ37" si="324">IF(EJ38="","",EJ38/$G36)</f>
        <v>8.7784677490268012E-2</v>
      </c>
      <c r="EK37" s="2775"/>
      <c r="EL37" s="2775"/>
      <c r="EM37" s="2776"/>
      <c r="EN37" s="2842">
        <f>EN38/F36</f>
        <v>0.64886129003892801</v>
      </c>
      <c r="EO37" s="2826"/>
      <c r="EQ37">
        <v>1441335.42</v>
      </c>
      <c r="ES37" s="978" t="str">
        <f t="shared" si="68"/>
        <v/>
      </c>
      <c r="EU37" t="str">
        <f t="shared" si="69"/>
        <v/>
      </c>
    </row>
    <row r="38" spans="1:151">
      <c r="A38" s="2829"/>
      <c r="B38" s="2836"/>
      <c r="C38" s="2837"/>
      <c r="D38" s="2838"/>
      <c r="E38" s="979" t="s">
        <v>684</v>
      </c>
      <c r="F38" s="2841"/>
      <c r="G38" s="2848"/>
      <c r="H38" s="2798"/>
      <c r="I38" s="2799"/>
      <c r="J38" s="2799"/>
      <c r="K38" s="2800"/>
      <c r="L38" s="2759">
        <v>59128.37</v>
      </c>
      <c r="M38" s="2760"/>
      <c r="N38" s="2760"/>
      <c r="O38" s="2761"/>
      <c r="P38" s="2759">
        <v>61312.37</v>
      </c>
      <c r="Q38" s="2760"/>
      <c r="R38" s="2760"/>
      <c r="S38" s="2761"/>
      <c r="T38" s="2759">
        <v>-3530.04</v>
      </c>
      <c r="U38" s="2760"/>
      <c r="V38" s="2760"/>
      <c r="W38" s="2761"/>
      <c r="X38" s="2759">
        <v>32112.84</v>
      </c>
      <c r="Y38" s="2760"/>
      <c r="Z38" s="2760"/>
      <c r="AA38" s="2761"/>
      <c r="AB38" s="2759">
        <v>73814.91</v>
      </c>
      <c r="AC38" s="2760"/>
      <c r="AD38" s="2760"/>
      <c r="AE38" s="2761"/>
      <c r="AF38" s="2798">
        <v>30954.01</v>
      </c>
      <c r="AG38" s="2799"/>
      <c r="AH38" s="2799"/>
      <c r="AI38" s="2800"/>
      <c r="AJ38" s="2759">
        <v>100956.22</v>
      </c>
      <c r="AK38" s="2760"/>
      <c r="AL38" s="2760"/>
      <c r="AM38" s="2761"/>
      <c r="AN38" s="2759">
        <v>36093.49</v>
      </c>
      <c r="AO38" s="2760"/>
      <c r="AP38" s="2760"/>
      <c r="AQ38" s="2761"/>
      <c r="AR38" s="2759">
        <v>103646.48</v>
      </c>
      <c r="AS38" s="2760"/>
      <c r="AT38" s="2760"/>
      <c r="AU38" s="2761"/>
      <c r="AV38" s="2759">
        <v>34422.910000000003</v>
      </c>
      <c r="AW38" s="2760"/>
      <c r="AX38" s="2760"/>
      <c r="AY38" s="2761"/>
      <c r="AZ38" s="2759">
        <v>-195512.74</v>
      </c>
      <c r="BA38" s="2760"/>
      <c r="BB38" s="2760"/>
      <c r="BC38" s="2761"/>
      <c r="BD38" s="2798"/>
      <c r="BE38" s="2799"/>
      <c r="BF38" s="2799"/>
      <c r="BG38" s="2800"/>
      <c r="BH38" s="2759">
        <v>135204.76</v>
      </c>
      <c r="BI38" s="2760"/>
      <c r="BJ38" s="2760"/>
      <c r="BK38" s="2761"/>
      <c r="BL38" s="2759">
        <v>24851.35</v>
      </c>
      <c r="BM38" s="2760"/>
      <c r="BN38" s="2760"/>
      <c r="BO38" s="2761"/>
      <c r="BP38" s="2759">
        <v>128335.78</v>
      </c>
      <c r="BQ38" s="2760"/>
      <c r="BR38" s="2760"/>
      <c r="BS38" s="2761"/>
      <c r="BT38" s="2798"/>
      <c r="BU38" s="2799"/>
      <c r="BV38" s="2799"/>
      <c r="BW38" s="2800"/>
      <c r="BX38" s="992"/>
      <c r="BY38" s="993"/>
      <c r="BZ38" s="993"/>
      <c r="CA38" s="994"/>
      <c r="CB38" s="2798"/>
      <c r="CC38" s="2799"/>
      <c r="CD38" s="2799"/>
      <c r="CE38" s="2800"/>
      <c r="CF38" s="2798"/>
      <c r="CG38" s="2799"/>
      <c r="CH38" s="2799"/>
      <c r="CI38" s="2800"/>
      <c r="CJ38" s="2798"/>
      <c r="CK38" s="2799"/>
      <c r="CL38" s="2799"/>
      <c r="CM38" s="2800"/>
      <c r="CN38" s="2759">
        <v>9011.74</v>
      </c>
      <c r="CO38" s="2760"/>
      <c r="CP38" s="2760"/>
      <c r="CQ38" s="2761"/>
      <c r="CR38" s="2759">
        <v>117697.07000000004</v>
      </c>
      <c r="CS38" s="2760"/>
      <c r="CT38" s="2760"/>
      <c r="CU38" s="2761"/>
      <c r="CV38" s="2759">
        <v>1299.1899999999896</v>
      </c>
      <c r="CW38" s="2760"/>
      <c r="CX38" s="2760"/>
      <c r="CY38" s="2761"/>
      <c r="CZ38" s="2801"/>
      <c r="DA38" s="2802"/>
      <c r="DB38" s="2802"/>
      <c r="DC38" s="2803"/>
      <c r="DD38" s="2801"/>
      <c r="DE38" s="2802"/>
      <c r="DF38" s="2802"/>
      <c r="DG38" s="2803"/>
      <c r="DH38" s="1336"/>
      <c r="DI38" s="1336"/>
      <c r="DJ38" s="1336"/>
      <c r="DK38" s="1336"/>
      <c r="DL38" s="2759">
        <v>81851.28999999995</v>
      </c>
      <c r="DM38" s="2760"/>
      <c r="DN38" s="2760"/>
      <c r="DO38" s="2761"/>
      <c r="DP38" s="2759">
        <v>124618.87999999999</v>
      </c>
      <c r="DQ38" s="2760"/>
      <c r="DR38" s="2760"/>
      <c r="DS38" s="2761"/>
      <c r="DT38" s="2759">
        <f>'11 - FINANCEIRA'!AA73</f>
        <v>-21042.119999999974</v>
      </c>
      <c r="DU38" s="2760"/>
      <c r="DV38" s="2760"/>
      <c r="DW38" s="2761"/>
      <c r="DX38" s="2786">
        <f>$ES38/4</f>
        <v>126527.16499999998</v>
      </c>
      <c r="DY38" s="2787"/>
      <c r="DZ38" s="2787"/>
      <c r="EA38" s="2788"/>
      <c r="EB38" s="2777">
        <f t="shared" ref="EB38" si="325">$ES38/4</f>
        <v>126527.16499999998</v>
      </c>
      <c r="EC38" s="2778"/>
      <c r="ED38" s="2778"/>
      <c r="EE38" s="2779"/>
      <c r="EF38" s="2777">
        <f t="shared" ref="EF38" si="326">$ES38/4</f>
        <v>126527.16499999998</v>
      </c>
      <c r="EG38" s="2778"/>
      <c r="EH38" s="2778"/>
      <c r="EI38" s="2779"/>
      <c r="EJ38" s="2777">
        <f t="shared" ref="EJ38" si="327">$ES38/4</f>
        <v>126527.16499999998</v>
      </c>
      <c r="EK38" s="2778"/>
      <c r="EL38" s="2778"/>
      <c r="EM38" s="2779"/>
      <c r="EN38" s="2825">
        <f>SUM(H38:DW38)</f>
        <v>935226.76</v>
      </c>
      <c r="EO38" s="2826"/>
      <c r="ER38" s="978">
        <f>SUM(H38:DW38)</f>
        <v>935226.76</v>
      </c>
      <c r="ES38" s="978">
        <f t="shared" si="68"/>
        <v>506108.65999999992</v>
      </c>
      <c r="ET38" s="978">
        <f>SUM(H38:EM38)</f>
        <v>1441335.4200000002</v>
      </c>
      <c r="EU38" t="str">
        <f t="shared" si="69"/>
        <v/>
      </c>
    </row>
    <row r="39" spans="1:151" ht="15" customHeight="1">
      <c r="A39" s="2827">
        <v>10</v>
      </c>
      <c r="B39" s="2830" t="s">
        <v>691</v>
      </c>
      <c r="C39" s="2831"/>
      <c r="D39" s="2832"/>
      <c r="E39" s="979"/>
      <c r="F39" s="2839">
        <f>EQ40</f>
        <v>20274.729999999996</v>
      </c>
      <c r="G39" s="2846">
        <f t="shared" ref="G39" si="328">F39</f>
        <v>20274.729999999996</v>
      </c>
      <c r="H39" s="979"/>
      <c r="I39" s="979"/>
      <c r="J39" s="979"/>
      <c r="K39" s="979"/>
      <c r="L39" s="979"/>
      <c r="M39" s="979"/>
      <c r="N39" s="979"/>
      <c r="O39" s="979"/>
      <c r="P39" s="979"/>
      <c r="Q39" s="979"/>
      <c r="R39" s="979"/>
      <c r="S39" s="979"/>
      <c r="T39" s="979"/>
      <c r="U39" s="979"/>
      <c r="V39" s="979"/>
      <c r="W39" s="979"/>
      <c r="X39" s="979"/>
      <c r="Y39" s="979"/>
      <c r="Z39" s="979"/>
      <c r="AA39" s="979"/>
      <c r="AB39" s="979"/>
      <c r="AC39" s="979"/>
      <c r="AD39" s="979"/>
      <c r="AE39" s="979"/>
      <c r="AF39" s="979"/>
      <c r="AG39" s="979"/>
      <c r="AH39" s="979"/>
      <c r="AI39" s="979"/>
      <c r="AJ39" s="979"/>
      <c r="AK39" s="979"/>
      <c r="AL39" s="979"/>
      <c r="AM39" s="979"/>
      <c r="AN39" s="979"/>
      <c r="AO39" s="979"/>
      <c r="AP39" s="979"/>
      <c r="AQ39" s="979"/>
      <c r="AR39" s="979"/>
      <c r="AS39" s="979"/>
      <c r="AT39" s="979"/>
      <c r="AU39" s="979"/>
      <c r="AV39" s="979"/>
      <c r="AW39" s="979"/>
      <c r="AX39" s="979"/>
      <c r="AY39" s="979"/>
      <c r="AZ39" s="979"/>
      <c r="BA39" s="979"/>
      <c r="BB39" s="979"/>
      <c r="BC39" s="979"/>
      <c r="BD39" s="979"/>
      <c r="BE39" s="979"/>
      <c r="BF39" s="979"/>
      <c r="BG39" s="979"/>
      <c r="BH39" s="979"/>
      <c r="BI39" s="979"/>
      <c r="BJ39" s="979"/>
      <c r="BK39" s="979"/>
      <c r="BL39" s="979"/>
      <c r="BM39" s="979"/>
      <c r="BN39" s="979"/>
      <c r="BO39" s="979"/>
      <c r="BP39" s="979"/>
      <c r="BQ39" s="979"/>
      <c r="BR39" s="979"/>
      <c r="BS39" s="979"/>
      <c r="BT39" s="979"/>
      <c r="BU39" s="979"/>
      <c r="BV39" s="979"/>
      <c r="BW39" s="979"/>
      <c r="BX39" s="979"/>
      <c r="BY39" s="979"/>
      <c r="BZ39" s="979"/>
      <c r="CA39" s="979"/>
      <c r="CB39" s="979"/>
      <c r="CC39" s="979"/>
      <c r="CD39" s="979"/>
      <c r="CE39" s="979"/>
      <c r="CF39" s="979"/>
      <c r="CG39" s="979"/>
      <c r="CH39" s="979"/>
      <c r="CI39" s="979"/>
      <c r="CJ39" s="979"/>
      <c r="CK39" s="979"/>
      <c r="CL39" s="979"/>
      <c r="CM39" s="979"/>
      <c r="CN39" s="979"/>
      <c r="CO39" s="979"/>
      <c r="CP39" s="979"/>
      <c r="CQ39" s="979"/>
      <c r="CR39" s="979"/>
      <c r="CS39" s="979"/>
      <c r="CT39" s="979"/>
      <c r="CU39" s="979"/>
      <c r="CV39" s="979"/>
      <c r="CW39" s="979"/>
      <c r="CX39" s="979"/>
      <c r="CY39" s="979"/>
      <c r="CZ39" s="979"/>
      <c r="DA39" s="979"/>
      <c r="DB39" s="979"/>
      <c r="DC39" s="979"/>
      <c r="DD39" s="979"/>
      <c r="DE39" s="979"/>
      <c r="DF39" s="979"/>
      <c r="DG39" s="979"/>
      <c r="DH39" s="979"/>
      <c r="DI39" s="979"/>
      <c r="DJ39" s="979"/>
      <c r="DK39" s="1391"/>
      <c r="DL39" s="979"/>
      <c r="DM39" s="979"/>
      <c r="DN39" s="979"/>
      <c r="DO39" s="979"/>
      <c r="DP39" s="979"/>
      <c r="DQ39" s="979"/>
      <c r="DR39" s="979"/>
      <c r="DS39" s="979"/>
      <c r="DT39" s="979"/>
      <c r="DU39" s="979"/>
      <c r="DV39" s="979"/>
      <c r="DW39" s="979"/>
      <c r="DX39" s="1393"/>
      <c r="DY39" s="1393"/>
      <c r="DZ39" s="1393"/>
      <c r="EA39" s="1393"/>
      <c r="EB39" s="1392"/>
      <c r="EC39" s="1392"/>
      <c r="ED39" s="1392"/>
      <c r="EE39" s="1392"/>
      <c r="EF39" s="1392"/>
      <c r="EG39" s="1392"/>
      <c r="EH39" s="1392"/>
      <c r="EI39" s="1392"/>
      <c r="EJ39" s="1392"/>
      <c r="EK39" s="1392"/>
      <c r="EL39" s="1392"/>
      <c r="EM39" s="1392"/>
      <c r="EN39" s="2825"/>
      <c r="EO39" s="2826"/>
      <c r="ES39" s="978" t="str">
        <f t="shared" si="68"/>
        <v/>
      </c>
      <c r="EU39" t="str">
        <f t="shared" si="69"/>
        <v/>
      </c>
    </row>
    <row r="40" spans="1:151">
      <c r="A40" s="2828"/>
      <c r="B40" s="2833"/>
      <c r="C40" s="2834"/>
      <c r="D40" s="2835"/>
      <c r="E40" s="980" t="s">
        <v>683</v>
      </c>
      <c r="F40" s="2840"/>
      <c r="G40" s="2847"/>
      <c r="H40" s="2753" t="str">
        <f>IF(H41="","",H41/$G39)</f>
        <v/>
      </c>
      <c r="I40" s="2754"/>
      <c r="J40" s="2754"/>
      <c r="K40" s="2755"/>
      <c r="L40" s="2753">
        <f t="shared" ref="L40" si="329">IF(L41="","",L41/$G39)</f>
        <v>4.0886364454668457E-2</v>
      </c>
      <c r="M40" s="2754"/>
      <c r="N40" s="2754"/>
      <c r="O40" s="2755"/>
      <c r="P40" s="2753" t="str">
        <f t="shared" ref="P40" si="330">IF(P41="","",P41/$G39)</f>
        <v/>
      </c>
      <c r="Q40" s="2754"/>
      <c r="R40" s="2754"/>
      <c r="S40" s="2755"/>
      <c r="T40" s="2753">
        <f t="shared" ref="T40" si="331">IF(T41="","",T41/$G39)</f>
        <v>4.5152265899471918E-2</v>
      </c>
      <c r="U40" s="2754"/>
      <c r="V40" s="2754"/>
      <c r="W40" s="2755"/>
      <c r="X40" s="2753">
        <f t="shared" ref="X40" si="332">IF(X41="","",X41/$G39)</f>
        <v>4.5152265899471918E-2</v>
      </c>
      <c r="Y40" s="2754"/>
      <c r="Z40" s="2754"/>
      <c r="AA40" s="2755"/>
      <c r="AB40" s="2753">
        <f t="shared" ref="AB40" si="333">IF(AB41="","",AB41/$G39)</f>
        <v>9.0304531798943835E-2</v>
      </c>
      <c r="AC40" s="2754"/>
      <c r="AD40" s="2754"/>
      <c r="AE40" s="2755"/>
      <c r="AF40" s="2753">
        <f t="shared" ref="AF40" si="334">IF(AF41="","",AF41/$G39)</f>
        <v>4.5152265899471918E-2</v>
      </c>
      <c r="AG40" s="2754"/>
      <c r="AH40" s="2754"/>
      <c r="AI40" s="2755"/>
      <c r="AJ40" s="2753" t="str">
        <f t="shared" ref="AJ40" si="335">IF(AJ41="","",AJ41/$G39)</f>
        <v/>
      </c>
      <c r="AK40" s="2754"/>
      <c r="AL40" s="2754"/>
      <c r="AM40" s="2755"/>
      <c r="AN40" s="2753" t="str">
        <f t="shared" ref="AN40" si="336">IF(AN41="","",AN41/$G39)</f>
        <v/>
      </c>
      <c r="AO40" s="2754"/>
      <c r="AP40" s="2754"/>
      <c r="AQ40" s="2755"/>
      <c r="AR40" s="2753" t="str">
        <f t="shared" ref="AR40" si="337">IF(AR41="","",AR41/$G39)</f>
        <v/>
      </c>
      <c r="AS40" s="2754"/>
      <c r="AT40" s="2754"/>
      <c r="AU40" s="2755"/>
      <c r="AV40" s="2753" t="str">
        <f t="shared" ref="AV40" si="338">IF(AV41="","",AV41/$G39)</f>
        <v/>
      </c>
      <c r="AW40" s="2754"/>
      <c r="AX40" s="2754"/>
      <c r="AY40" s="2755"/>
      <c r="AZ40" s="2753">
        <f t="shared" ref="AZ40" si="339">IF(AZ41="","",AZ41/$G39)</f>
        <v>9.292355557879195E-2</v>
      </c>
      <c r="BA40" s="2754"/>
      <c r="BB40" s="2754"/>
      <c r="BC40" s="2755"/>
      <c r="BD40" s="2753" t="str">
        <f t="shared" ref="BD40" si="340">IF(BD41="","",BD41/$G39)</f>
        <v/>
      </c>
      <c r="BE40" s="2754"/>
      <c r="BF40" s="2754"/>
      <c r="BG40" s="2755"/>
      <c r="BH40" s="2753">
        <f t="shared" ref="BH40" si="341">IF(BH41="","",BH41/$G39)</f>
        <v>0.13545679769841573</v>
      </c>
      <c r="BI40" s="2754"/>
      <c r="BJ40" s="2754"/>
      <c r="BK40" s="2755"/>
      <c r="BL40" s="2753">
        <f t="shared" ref="BL40" si="342">IF(BL41="","",BL41/$G39)</f>
        <v>1.8584711115758389E-2</v>
      </c>
      <c r="BM40" s="2754"/>
      <c r="BN40" s="2754"/>
      <c r="BO40" s="2755"/>
      <c r="BP40" s="2753" t="str">
        <f t="shared" ref="BP40" si="343">IF(BP41="","",BP41/$G39)</f>
        <v/>
      </c>
      <c r="BQ40" s="2754"/>
      <c r="BR40" s="2754"/>
      <c r="BS40" s="2755"/>
      <c r="BT40" s="2753" t="str">
        <f t="shared" ref="BT40" si="344">IF(BT41="","",BT41/$G39)</f>
        <v/>
      </c>
      <c r="BU40" s="2754"/>
      <c r="BV40" s="2754"/>
      <c r="BW40" s="2755"/>
      <c r="BX40" s="2753" t="str">
        <f t="shared" ref="BX40" si="345">IF(BX41="","",BX41/$G39)</f>
        <v/>
      </c>
      <c r="BY40" s="2754"/>
      <c r="BZ40" s="2754"/>
      <c r="CA40" s="2755"/>
      <c r="CB40" s="2753" t="str">
        <f t="shared" ref="CB40" si="346">IF(CB41="","",CB41/$G39)</f>
        <v/>
      </c>
      <c r="CC40" s="2754"/>
      <c r="CD40" s="2754"/>
      <c r="CE40" s="2755"/>
      <c r="CF40" s="2753" t="str">
        <f t="shared" ref="CF40" si="347">IF(CF41="","",CF41/$G39)</f>
        <v/>
      </c>
      <c r="CG40" s="2754"/>
      <c r="CH40" s="2754"/>
      <c r="CI40" s="2755"/>
      <c r="CJ40" s="1133" t="str">
        <f t="shared" ref="CJ40" si="348">IF(CJ41="","",CJ41/$G39)</f>
        <v/>
      </c>
      <c r="CK40" s="1134"/>
      <c r="CL40" s="1134"/>
      <c r="CM40" s="1135"/>
      <c r="CN40" s="2768" t="str">
        <f t="shared" ref="CN40" si="349">IF(CN41="","",CN41/$G39)</f>
        <v/>
      </c>
      <c r="CO40" s="2769"/>
      <c r="CP40" s="2769"/>
      <c r="CQ40" s="2770"/>
      <c r="CR40" s="2765" t="str">
        <f t="shared" ref="CR40" si="350">IF(CR41="","",CR41/$G39)</f>
        <v/>
      </c>
      <c r="CS40" s="2766"/>
      <c r="CT40" s="2766"/>
      <c r="CU40" s="2767"/>
      <c r="CV40" s="2771" t="str">
        <f t="shared" ref="CV40" si="351">IF(CV41="","",CV41/$G39)</f>
        <v/>
      </c>
      <c r="CW40" s="2772"/>
      <c r="CX40" s="2772"/>
      <c r="CY40" s="2773"/>
      <c r="CZ40" s="2753" t="str">
        <f t="shared" ref="CZ40" si="352">IF(CZ41="","",CZ41/$G39)</f>
        <v/>
      </c>
      <c r="DA40" s="2754"/>
      <c r="DB40" s="2754"/>
      <c r="DC40" s="2755"/>
      <c r="DD40" s="2753" t="str">
        <f t="shared" ref="DD40" si="353">IF(DD41="","",DD41/$G39)</f>
        <v/>
      </c>
      <c r="DE40" s="2754"/>
      <c r="DF40" s="2754"/>
      <c r="DG40" s="2755"/>
      <c r="DH40" s="1320" t="str">
        <f t="shared" ref="DH40" si="354">IF(DH41="","",DH41/$G39)</f>
        <v/>
      </c>
      <c r="DI40" s="1320"/>
      <c r="DJ40" s="1320"/>
      <c r="DK40" s="1320"/>
      <c r="DL40" s="2768">
        <f t="shared" ref="DL40" si="355">IF(DL41="","",DL41/$G39)</f>
        <v>4.5152265899471862E-2</v>
      </c>
      <c r="DM40" s="2769"/>
      <c r="DN40" s="2769"/>
      <c r="DO40" s="2770"/>
      <c r="DP40" s="2768">
        <f t="shared" ref="DP40" si="356">IF(DP41="","",DP41/$G39)</f>
        <v>0</v>
      </c>
      <c r="DQ40" s="2769"/>
      <c r="DR40" s="2769"/>
      <c r="DS40" s="2770"/>
      <c r="DT40" s="2768">
        <f t="shared" ref="DT40" si="357">IF(DT41="","",DT41/$G39)</f>
        <v>0</v>
      </c>
      <c r="DU40" s="2769"/>
      <c r="DV40" s="2769"/>
      <c r="DW40" s="2770"/>
      <c r="DX40" s="2783">
        <f t="shared" ref="DX40" si="358">IF(DX41="","",DX41/$G39)</f>
        <v>0.11030874393888353</v>
      </c>
      <c r="DY40" s="2784"/>
      <c r="DZ40" s="2784"/>
      <c r="EA40" s="2785"/>
      <c r="EB40" s="2774">
        <f t="shared" ref="EB40" si="359">IF(EB41="","",EB41/$G39)</f>
        <v>0.11030874393888353</v>
      </c>
      <c r="EC40" s="2775"/>
      <c r="ED40" s="2775"/>
      <c r="EE40" s="2776"/>
      <c r="EF40" s="2774">
        <f t="shared" ref="EF40" si="360">IF(EF41="","",EF41/$G39)</f>
        <v>0.11030874393888353</v>
      </c>
      <c r="EG40" s="2775"/>
      <c r="EH40" s="2775"/>
      <c r="EI40" s="2776"/>
      <c r="EJ40" s="2774">
        <f t="shared" ref="EJ40" si="361">IF(EJ41="","",EJ41/$G39)</f>
        <v>0.11030874393888353</v>
      </c>
      <c r="EK40" s="2775"/>
      <c r="EL40" s="2775"/>
      <c r="EM40" s="2776"/>
      <c r="EN40" s="2842">
        <f>EN41/F39</f>
        <v>0.55876502424446595</v>
      </c>
      <c r="EO40" s="2826"/>
      <c r="EQ40">
        <v>20274.729999999996</v>
      </c>
      <c r="ES40" s="978" t="str">
        <f t="shared" si="68"/>
        <v/>
      </c>
      <c r="EU40" t="str">
        <f t="shared" si="69"/>
        <v/>
      </c>
    </row>
    <row r="41" spans="1:151">
      <c r="A41" s="2829"/>
      <c r="B41" s="2836"/>
      <c r="C41" s="2837"/>
      <c r="D41" s="2838"/>
      <c r="E41" s="979" t="s">
        <v>684</v>
      </c>
      <c r="F41" s="2841"/>
      <c r="G41" s="2848"/>
      <c r="H41" s="2843"/>
      <c r="I41" s="2844"/>
      <c r="J41" s="2844"/>
      <c r="K41" s="2845"/>
      <c r="L41" s="2759">
        <v>828.96</v>
      </c>
      <c r="M41" s="2760"/>
      <c r="N41" s="2760"/>
      <c r="O41" s="2761"/>
      <c r="P41" s="2798"/>
      <c r="Q41" s="2799"/>
      <c r="R41" s="2799"/>
      <c r="S41" s="2800"/>
      <c r="T41" s="2759">
        <v>915.45</v>
      </c>
      <c r="U41" s="2760"/>
      <c r="V41" s="2760"/>
      <c r="W41" s="2761"/>
      <c r="X41" s="2759">
        <v>915.45</v>
      </c>
      <c r="Y41" s="2760"/>
      <c r="Z41" s="2760"/>
      <c r="AA41" s="2761"/>
      <c r="AB41" s="2759">
        <v>1830.9</v>
      </c>
      <c r="AC41" s="2760"/>
      <c r="AD41" s="2760"/>
      <c r="AE41" s="2761"/>
      <c r="AF41" s="2759">
        <v>915.45</v>
      </c>
      <c r="AG41" s="2760"/>
      <c r="AH41" s="2760"/>
      <c r="AI41" s="2761"/>
      <c r="AJ41" s="2798"/>
      <c r="AK41" s="2799"/>
      <c r="AL41" s="2799"/>
      <c r="AM41" s="2800"/>
      <c r="AN41" s="2798"/>
      <c r="AO41" s="2799"/>
      <c r="AP41" s="2799"/>
      <c r="AQ41" s="2800"/>
      <c r="AR41" s="2798"/>
      <c r="AS41" s="2799"/>
      <c r="AT41" s="2799"/>
      <c r="AU41" s="2800"/>
      <c r="AV41" s="2798"/>
      <c r="AW41" s="2799"/>
      <c r="AX41" s="2799"/>
      <c r="AY41" s="2800"/>
      <c r="AZ41" s="2759">
        <v>1884</v>
      </c>
      <c r="BA41" s="2760"/>
      <c r="BB41" s="2760"/>
      <c r="BC41" s="2761"/>
      <c r="BD41" s="2798"/>
      <c r="BE41" s="2799"/>
      <c r="BF41" s="2799"/>
      <c r="BG41" s="2800"/>
      <c r="BH41" s="2759">
        <v>2746.35</v>
      </c>
      <c r="BI41" s="2760"/>
      <c r="BJ41" s="2760"/>
      <c r="BK41" s="2761"/>
      <c r="BL41" s="2759">
        <v>376.8</v>
      </c>
      <c r="BM41" s="2760"/>
      <c r="BN41" s="2760"/>
      <c r="BO41" s="2761"/>
      <c r="BP41" s="2798"/>
      <c r="BQ41" s="2799"/>
      <c r="BR41" s="2799"/>
      <c r="BS41" s="2800"/>
      <c r="BT41" s="2798"/>
      <c r="BU41" s="2799"/>
      <c r="BV41" s="2799"/>
      <c r="BW41" s="2800"/>
      <c r="BX41" s="992"/>
      <c r="BY41" s="993"/>
      <c r="BZ41" s="993"/>
      <c r="CA41" s="994"/>
      <c r="CB41" s="2798"/>
      <c r="CC41" s="2799"/>
      <c r="CD41" s="2799"/>
      <c r="CE41" s="2800"/>
      <c r="CF41" s="2798"/>
      <c r="CG41" s="2799"/>
      <c r="CH41" s="2799"/>
      <c r="CI41" s="2800"/>
      <c r="CJ41" s="2798"/>
      <c r="CK41" s="2799"/>
      <c r="CL41" s="2799"/>
      <c r="CM41" s="2800"/>
      <c r="CN41" s="2762"/>
      <c r="CO41" s="2763"/>
      <c r="CP41" s="2763"/>
      <c r="CQ41" s="2764"/>
      <c r="CR41" s="2762"/>
      <c r="CS41" s="2763"/>
      <c r="CT41" s="2763"/>
      <c r="CU41" s="2764"/>
      <c r="CV41" s="992"/>
      <c r="CW41" s="993"/>
      <c r="CX41" s="993"/>
      <c r="CY41" s="994"/>
      <c r="CZ41" s="2798"/>
      <c r="DA41" s="2799"/>
      <c r="DB41" s="2799"/>
      <c r="DC41" s="2800"/>
      <c r="DD41" s="2798"/>
      <c r="DE41" s="2799"/>
      <c r="DF41" s="2799"/>
      <c r="DG41" s="2800"/>
      <c r="DH41" s="1318"/>
      <c r="DI41" s="1318"/>
      <c r="DJ41" s="1318"/>
      <c r="DK41" s="1318"/>
      <c r="DL41" s="2759">
        <v>915.44999999999891</v>
      </c>
      <c r="DM41" s="2760"/>
      <c r="DN41" s="2760"/>
      <c r="DO41" s="2761"/>
      <c r="DP41" s="2759">
        <v>0</v>
      </c>
      <c r="DQ41" s="2760"/>
      <c r="DR41" s="2760"/>
      <c r="DS41" s="2761"/>
      <c r="DT41" s="2759">
        <f>'11 - FINANCEIRA'!AA86</f>
        <v>0</v>
      </c>
      <c r="DU41" s="2760"/>
      <c r="DV41" s="2760"/>
      <c r="DW41" s="2761"/>
      <c r="DX41" s="2786">
        <f>$ES41/4</f>
        <v>2236.4799999999996</v>
      </c>
      <c r="DY41" s="2787"/>
      <c r="DZ41" s="2787"/>
      <c r="EA41" s="2788"/>
      <c r="EB41" s="2777">
        <f t="shared" ref="EB41" si="362">$ES41/4</f>
        <v>2236.4799999999996</v>
      </c>
      <c r="EC41" s="2778"/>
      <c r="ED41" s="2778"/>
      <c r="EE41" s="2779"/>
      <c r="EF41" s="2777">
        <f t="shared" ref="EF41" si="363">$ES41/4</f>
        <v>2236.4799999999996</v>
      </c>
      <c r="EG41" s="2778"/>
      <c r="EH41" s="2778"/>
      <c r="EI41" s="2779"/>
      <c r="EJ41" s="2777">
        <f t="shared" ref="EJ41" si="364">$ES41/4</f>
        <v>2236.4799999999996</v>
      </c>
      <c r="EK41" s="2778"/>
      <c r="EL41" s="2778"/>
      <c r="EM41" s="2779"/>
      <c r="EN41" s="2825">
        <f>SUM(H41:DW41)</f>
        <v>11328.809999999998</v>
      </c>
      <c r="EO41" s="2826"/>
      <c r="ER41" s="978">
        <f>SUM(H41:DW41)</f>
        <v>11328.809999999998</v>
      </c>
      <c r="ES41" s="978">
        <f t="shared" si="68"/>
        <v>8945.9199999999983</v>
      </c>
      <c r="ET41" s="978">
        <f>SUM(H41:EM41)</f>
        <v>20274.729999999996</v>
      </c>
      <c r="EU41" t="str">
        <f t="shared" si="69"/>
        <v/>
      </c>
    </row>
    <row r="42" spans="1:151" ht="15" customHeight="1">
      <c r="A42" s="2827">
        <v>11</v>
      </c>
      <c r="B42" s="2830" t="s">
        <v>692</v>
      </c>
      <c r="C42" s="2831"/>
      <c r="D42" s="2832"/>
      <c r="E42" s="979"/>
      <c r="F42" s="2839">
        <f>EQ43</f>
        <v>32010.97</v>
      </c>
      <c r="G42" s="2846">
        <f t="shared" ref="G42" si="365">F42</f>
        <v>32010.97</v>
      </c>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c r="AL42" s="979"/>
      <c r="AM42" s="979"/>
      <c r="AN42" s="979"/>
      <c r="AO42" s="979"/>
      <c r="AP42" s="979"/>
      <c r="AQ42" s="979"/>
      <c r="AR42" s="979"/>
      <c r="AS42" s="979"/>
      <c r="AT42" s="979"/>
      <c r="AU42" s="979"/>
      <c r="AV42" s="979"/>
      <c r="AW42" s="979"/>
      <c r="AX42" s="979"/>
      <c r="AY42" s="979"/>
      <c r="AZ42" s="979"/>
      <c r="BA42" s="979"/>
      <c r="BB42" s="979"/>
      <c r="BC42" s="979"/>
      <c r="BD42" s="979"/>
      <c r="BE42" s="979"/>
      <c r="BF42" s="979"/>
      <c r="BG42" s="979"/>
      <c r="BH42" s="979"/>
      <c r="BI42" s="979"/>
      <c r="BJ42" s="979"/>
      <c r="BK42" s="979"/>
      <c r="BL42" s="979"/>
      <c r="BM42" s="979"/>
      <c r="BN42" s="979"/>
      <c r="BO42" s="979"/>
      <c r="BP42" s="979"/>
      <c r="BQ42" s="979"/>
      <c r="BR42" s="979"/>
      <c r="BS42" s="979"/>
      <c r="BT42" s="979"/>
      <c r="BU42" s="979"/>
      <c r="BV42" s="979"/>
      <c r="BW42" s="979"/>
      <c r="BX42" s="979"/>
      <c r="BY42" s="979"/>
      <c r="BZ42" s="979"/>
      <c r="CA42" s="979"/>
      <c r="CB42" s="979"/>
      <c r="CC42" s="979"/>
      <c r="CD42" s="979"/>
      <c r="CE42" s="979"/>
      <c r="CF42" s="979"/>
      <c r="CG42" s="979"/>
      <c r="CH42" s="979"/>
      <c r="CI42" s="979"/>
      <c r="CJ42" s="979"/>
      <c r="CK42" s="979"/>
      <c r="CL42" s="979"/>
      <c r="CM42" s="979"/>
      <c r="CN42" s="979"/>
      <c r="CO42" s="979"/>
      <c r="CP42" s="979"/>
      <c r="CQ42" s="979"/>
      <c r="CR42" s="979"/>
      <c r="CS42" s="979"/>
      <c r="CT42" s="979"/>
      <c r="CU42" s="979"/>
      <c r="CV42" s="979"/>
      <c r="CW42" s="979"/>
      <c r="CX42" s="979"/>
      <c r="CY42" s="979"/>
      <c r="CZ42" s="979"/>
      <c r="DA42" s="979"/>
      <c r="DB42" s="979"/>
      <c r="DC42" s="979"/>
      <c r="DD42" s="979"/>
      <c r="DE42" s="979"/>
      <c r="DF42" s="979"/>
      <c r="DG42" s="979"/>
      <c r="DH42" s="979"/>
      <c r="DI42" s="979"/>
      <c r="DJ42" s="979"/>
      <c r="DK42" s="1391"/>
      <c r="DL42" s="979"/>
      <c r="DM42" s="979"/>
      <c r="DN42" s="979"/>
      <c r="DO42" s="979"/>
      <c r="DP42" s="979"/>
      <c r="DQ42" s="979"/>
      <c r="DR42" s="979"/>
      <c r="DS42" s="979"/>
      <c r="DT42" s="979"/>
      <c r="DU42" s="979"/>
      <c r="DV42" s="979"/>
      <c r="DW42" s="979"/>
      <c r="DX42" s="1393"/>
      <c r="DY42" s="1393"/>
      <c r="DZ42" s="1393"/>
      <c r="EA42" s="1393"/>
      <c r="EB42" s="1392"/>
      <c r="EC42" s="1392"/>
      <c r="ED42" s="1392"/>
      <c r="EE42" s="1392"/>
      <c r="EF42" s="1392"/>
      <c r="EG42" s="1392"/>
      <c r="EH42" s="1392"/>
      <c r="EI42" s="1392"/>
      <c r="EJ42" s="1392"/>
      <c r="EK42" s="1392"/>
      <c r="EL42" s="1392"/>
      <c r="EM42" s="1392"/>
      <c r="EN42" s="2825"/>
      <c r="EO42" s="2826"/>
      <c r="ES42" s="978" t="str">
        <f t="shared" si="68"/>
        <v/>
      </c>
      <c r="EU42" t="str">
        <f t="shared" si="69"/>
        <v/>
      </c>
    </row>
    <row r="43" spans="1:151">
      <c r="A43" s="2828"/>
      <c r="B43" s="2833"/>
      <c r="C43" s="2834"/>
      <c r="D43" s="2835"/>
      <c r="E43" s="980" t="s">
        <v>683</v>
      </c>
      <c r="F43" s="2840"/>
      <c r="G43" s="2847"/>
      <c r="H43" s="2753" t="str">
        <f>IF(H44="","",H44/$G42)</f>
        <v/>
      </c>
      <c r="I43" s="2754"/>
      <c r="J43" s="2754"/>
      <c r="K43" s="2755"/>
      <c r="L43" s="2753">
        <f t="shared" ref="L43" si="366">IF(L44="","",L44/$G42)</f>
        <v>1.3497872760494292E-2</v>
      </c>
      <c r="M43" s="2754"/>
      <c r="N43" s="2754"/>
      <c r="O43" s="2755"/>
      <c r="P43" s="2753" t="str">
        <f t="shared" ref="P43" si="367">IF(P44="","",P44/$G42)</f>
        <v/>
      </c>
      <c r="Q43" s="2754"/>
      <c r="R43" s="2754"/>
      <c r="S43" s="2755"/>
      <c r="T43" s="2753" t="str">
        <f t="shared" ref="T43" si="368">IF(T44="","",T44/$G42)</f>
        <v/>
      </c>
      <c r="U43" s="2754"/>
      <c r="V43" s="2754"/>
      <c r="W43" s="2755"/>
      <c r="X43" s="2753" t="str">
        <f t="shared" ref="X43" si="369">IF(X44="","",X44/$G42)</f>
        <v/>
      </c>
      <c r="Y43" s="2754"/>
      <c r="Z43" s="2754"/>
      <c r="AA43" s="2755"/>
      <c r="AB43" s="2753" t="str">
        <f t="shared" ref="AB43" si="370">IF(AB44="","",AB44/$G42)</f>
        <v/>
      </c>
      <c r="AC43" s="2754"/>
      <c r="AD43" s="2754"/>
      <c r="AE43" s="2755"/>
      <c r="AF43" s="2753" t="str">
        <f t="shared" ref="AF43" si="371">IF(AF44="","",AF44/$G42)</f>
        <v/>
      </c>
      <c r="AG43" s="2754"/>
      <c r="AH43" s="2754"/>
      <c r="AI43" s="2755"/>
      <c r="AJ43" s="2753">
        <f t="shared" ref="AJ43" si="372">IF(AJ44="","",AJ44/$G42)</f>
        <v>2.2087428153536114E-2</v>
      </c>
      <c r="AK43" s="2754"/>
      <c r="AL43" s="2754"/>
      <c r="AM43" s="2755"/>
      <c r="AN43" s="2753" t="str">
        <f t="shared" ref="AN43" si="373">IF(AN44="","",AN44/$G42)</f>
        <v/>
      </c>
      <c r="AO43" s="2754"/>
      <c r="AP43" s="2754"/>
      <c r="AQ43" s="2755"/>
      <c r="AR43" s="2753" t="str">
        <f t="shared" ref="AR43" si="374">IF(AR44="","",AR44/$G42)</f>
        <v/>
      </c>
      <c r="AS43" s="2754"/>
      <c r="AT43" s="2754"/>
      <c r="AU43" s="2755"/>
      <c r="AV43" s="2753" t="str">
        <f t="shared" ref="AV43" si="375">IF(AV44="","",AV44/$G42)</f>
        <v/>
      </c>
      <c r="AW43" s="2754"/>
      <c r="AX43" s="2754"/>
      <c r="AY43" s="2755"/>
      <c r="AZ43" s="2753" t="str">
        <f t="shared" ref="AZ43" si="376">IF(AZ44="","",AZ44/$G42)</f>
        <v/>
      </c>
      <c r="BA43" s="2754"/>
      <c r="BB43" s="2754"/>
      <c r="BC43" s="2755"/>
      <c r="BD43" s="2753" t="str">
        <f t="shared" ref="BD43" si="377">IF(BD44="","",BD44/$G42)</f>
        <v/>
      </c>
      <c r="BE43" s="2754"/>
      <c r="BF43" s="2754"/>
      <c r="BG43" s="2755"/>
      <c r="BH43" s="2753" t="str">
        <f t="shared" ref="BH43" si="378">IF(BH44="","",BH44/$G42)</f>
        <v/>
      </c>
      <c r="BI43" s="2754"/>
      <c r="BJ43" s="2754"/>
      <c r="BK43" s="2755"/>
      <c r="BL43" s="2753" t="str">
        <f t="shared" ref="BL43" si="379">IF(BL44="","",BL44/$G42)</f>
        <v/>
      </c>
      <c r="BM43" s="2754"/>
      <c r="BN43" s="2754"/>
      <c r="BO43" s="2755"/>
      <c r="BP43" s="2753" t="str">
        <f t="shared" ref="BP43" si="380">IF(BP44="","",BP44/$G42)</f>
        <v/>
      </c>
      <c r="BQ43" s="2754"/>
      <c r="BR43" s="2754"/>
      <c r="BS43" s="2755"/>
      <c r="BT43" s="2753" t="str">
        <f t="shared" ref="BT43" si="381">IF(BT44="","",BT44/$G42)</f>
        <v/>
      </c>
      <c r="BU43" s="2754"/>
      <c r="BV43" s="2754"/>
      <c r="BW43" s="2755"/>
      <c r="BX43" s="2753">
        <f t="shared" ref="BX43" si="382">IF(BX44="","",BX44/$G42)</f>
        <v>3.4413202723941196E-2</v>
      </c>
      <c r="BY43" s="2754"/>
      <c r="BZ43" s="2754"/>
      <c r="CA43" s="2755"/>
      <c r="CB43" s="2753" t="str">
        <f t="shared" ref="CB43" si="383">IF(CB44="","",CB44/$G42)</f>
        <v/>
      </c>
      <c r="CC43" s="2754"/>
      <c r="CD43" s="2754"/>
      <c r="CE43" s="2755"/>
      <c r="CF43" s="2753" t="str">
        <f t="shared" ref="CF43" si="384">IF(CF44="","",CF44/$G42)</f>
        <v/>
      </c>
      <c r="CG43" s="2754"/>
      <c r="CH43" s="2754"/>
      <c r="CI43" s="2755"/>
      <c r="CJ43" s="1133" t="str">
        <f t="shared" ref="CJ43" si="385">IF(CJ44="","",CJ44/$G42)</f>
        <v/>
      </c>
      <c r="CK43" s="1134"/>
      <c r="CL43" s="1134"/>
      <c r="CM43" s="1135"/>
      <c r="CN43" s="2768" t="str">
        <f t="shared" ref="CN43" si="386">IF(CN44="","",CN44/$G42)</f>
        <v/>
      </c>
      <c r="CO43" s="2769"/>
      <c r="CP43" s="2769"/>
      <c r="CQ43" s="2770"/>
      <c r="CR43" s="2765">
        <f t="shared" ref="CR43" si="387">IF(CR44="","",CR44/$G42)</f>
        <v>3.4413202723941196E-2</v>
      </c>
      <c r="CS43" s="2766"/>
      <c r="CT43" s="2766"/>
      <c r="CU43" s="2767"/>
      <c r="CV43" s="2771" t="str">
        <f t="shared" ref="CV43" si="388">IF(CV44="","",CV44/$G42)</f>
        <v/>
      </c>
      <c r="CW43" s="2772"/>
      <c r="CX43" s="2772"/>
      <c r="CY43" s="2773"/>
      <c r="CZ43" s="2753" t="str">
        <f t="shared" ref="CZ43" si="389">IF(CZ44="","",CZ44/$G42)</f>
        <v/>
      </c>
      <c r="DA43" s="2754"/>
      <c r="DB43" s="2754"/>
      <c r="DC43" s="2755"/>
      <c r="DD43" s="2753" t="str">
        <f t="shared" ref="DD43" si="390">IF(DD44="","",DD44/$G42)</f>
        <v/>
      </c>
      <c r="DE43" s="2754"/>
      <c r="DF43" s="2754"/>
      <c r="DG43" s="2755"/>
      <c r="DH43" s="1320" t="str">
        <f t="shared" ref="DH43" si="391">IF(DH44="","",DH44/$G42)</f>
        <v/>
      </c>
      <c r="DI43" s="1320"/>
      <c r="DJ43" s="1320"/>
      <c r="DK43" s="1320"/>
      <c r="DL43" s="2768">
        <f t="shared" ref="DL43" si="392">IF(DL44="","",DL44/$G42)</f>
        <v>0</v>
      </c>
      <c r="DM43" s="2769"/>
      <c r="DN43" s="2769"/>
      <c r="DO43" s="2770"/>
      <c r="DP43" s="2768">
        <f t="shared" ref="DP43" si="393">IF(DP44="","",DP44/$G42)</f>
        <v>0</v>
      </c>
      <c r="DQ43" s="2769"/>
      <c r="DR43" s="2769"/>
      <c r="DS43" s="2770"/>
      <c r="DT43" s="2768">
        <f t="shared" ref="DT43" si="394">IF(DT44="","",DT44/$G42)</f>
        <v>1.9353365424415441E-2</v>
      </c>
      <c r="DU43" s="2769"/>
      <c r="DV43" s="2769"/>
      <c r="DW43" s="2770"/>
      <c r="DX43" s="2783">
        <f t="shared" ref="DX43" si="395">IF(DX44="","",DX44/$G42)</f>
        <v>0.21905873205341794</v>
      </c>
      <c r="DY43" s="2784"/>
      <c r="DZ43" s="2784"/>
      <c r="EA43" s="2785"/>
      <c r="EB43" s="2774">
        <f t="shared" ref="EB43" si="396">IF(EB44="","",EB44/$G42)</f>
        <v>0.21905873205341794</v>
      </c>
      <c r="EC43" s="2775"/>
      <c r="ED43" s="2775"/>
      <c r="EE43" s="2776"/>
      <c r="EF43" s="2774">
        <f t="shared" ref="EF43" si="397">IF(EF44="","",EF44/$G42)</f>
        <v>0.21905873205341794</v>
      </c>
      <c r="EG43" s="2775"/>
      <c r="EH43" s="2775"/>
      <c r="EI43" s="2776"/>
      <c r="EJ43" s="2774">
        <f t="shared" ref="EJ43" si="398">IF(EJ44="","",EJ44/$G42)</f>
        <v>0.21905873205341794</v>
      </c>
      <c r="EK43" s="2775"/>
      <c r="EL43" s="2775"/>
      <c r="EM43" s="2776"/>
      <c r="EN43" s="2842">
        <f>EN44/F42</f>
        <v>0.12376507178632823</v>
      </c>
      <c r="EO43" s="2826"/>
      <c r="EQ43">
        <v>32010.97</v>
      </c>
      <c r="ES43" s="978" t="str">
        <f t="shared" si="68"/>
        <v/>
      </c>
      <c r="EU43" t="str">
        <f t="shared" si="69"/>
        <v/>
      </c>
    </row>
    <row r="44" spans="1:151">
      <c r="A44" s="2829"/>
      <c r="B44" s="2836"/>
      <c r="C44" s="2837"/>
      <c r="D44" s="2838"/>
      <c r="E44" s="979" t="s">
        <v>684</v>
      </c>
      <c r="F44" s="2841"/>
      <c r="G44" s="2848"/>
      <c r="H44" s="2843"/>
      <c r="I44" s="2844"/>
      <c r="J44" s="2844"/>
      <c r="K44" s="2845"/>
      <c r="L44" s="2759">
        <v>432.08</v>
      </c>
      <c r="M44" s="2760"/>
      <c r="N44" s="2760"/>
      <c r="O44" s="2761"/>
      <c r="P44" s="2798"/>
      <c r="Q44" s="2799"/>
      <c r="R44" s="2799"/>
      <c r="S44" s="2800"/>
      <c r="T44" s="2798"/>
      <c r="U44" s="2799"/>
      <c r="V44" s="2799"/>
      <c r="W44" s="2800"/>
      <c r="X44" s="2798"/>
      <c r="Y44" s="2799"/>
      <c r="Z44" s="2799"/>
      <c r="AA44" s="2800"/>
      <c r="AB44" s="2798"/>
      <c r="AC44" s="2799"/>
      <c r="AD44" s="2799"/>
      <c r="AE44" s="2800"/>
      <c r="AF44" s="2762"/>
      <c r="AG44" s="2763"/>
      <c r="AH44" s="2763"/>
      <c r="AI44" s="2764"/>
      <c r="AJ44" s="2759">
        <v>707.04</v>
      </c>
      <c r="AK44" s="2760"/>
      <c r="AL44" s="2760"/>
      <c r="AM44" s="2761"/>
      <c r="AN44" s="2798"/>
      <c r="AO44" s="2799"/>
      <c r="AP44" s="2799"/>
      <c r="AQ44" s="2800"/>
      <c r="AR44" s="2798"/>
      <c r="AS44" s="2799"/>
      <c r="AT44" s="2799"/>
      <c r="AU44" s="2800"/>
      <c r="AV44" s="2798"/>
      <c r="AW44" s="2799"/>
      <c r="AX44" s="2799"/>
      <c r="AY44" s="2800"/>
      <c r="AZ44" s="2798"/>
      <c r="BA44" s="2799"/>
      <c r="BB44" s="2799"/>
      <c r="BC44" s="2800"/>
      <c r="BD44" s="2798"/>
      <c r="BE44" s="2799"/>
      <c r="BF44" s="2799"/>
      <c r="BG44" s="2800"/>
      <c r="BH44" s="2798"/>
      <c r="BI44" s="2799"/>
      <c r="BJ44" s="2799"/>
      <c r="BK44" s="2800"/>
      <c r="BL44" s="2798"/>
      <c r="BM44" s="2799"/>
      <c r="BN44" s="2799"/>
      <c r="BO44" s="2800"/>
      <c r="BP44" s="2798"/>
      <c r="BQ44" s="2799"/>
      <c r="BR44" s="2799"/>
      <c r="BS44" s="2800"/>
      <c r="BT44" s="2798"/>
      <c r="BU44" s="2799"/>
      <c r="BV44" s="2799"/>
      <c r="BW44" s="2800"/>
      <c r="BX44" s="2759">
        <v>1101.5999999999999</v>
      </c>
      <c r="BY44" s="2760"/>
      <c r="BZ44" s="2760"/>
      <c r="CA44" s="2761"/>
      <c r="CB44" s="2762"/>
      <c r="CC44" s="2763"/>
      <c r="CD44" s="2763"/>
      <c r="CE44" s="2764"/>
      <c r="CF44" s="2762"/>
      <c r="CG44" s="2763"/>
      <c r="CH44" s="2763"/>
      <c r="CI44" s="2764"/>
      <c r="CJ44" s="2762"/>
      <c r="CK44" s="2763"/>
      <c r="CL44" s="2763"/>
      <c r="CM44" s="2764"/>
      <c r="CN44" s="2762"/>
      <c r="CO44" s="2763"/>
      <c r="CP44" s="2763"/>
      <c r="CQ44" s="2764"/>
      <c r="CR44" s="2759">
        <v>1101.5999999999999</v>
      </c>
      <c r="CS44" s="2760"/>
      <c r="CT44" s="2760"/>
      <c r="CU44" s="2761"/>
      <c r="CV44" s="1333"/>
      <c r="CW44" s="1334"/>
      <c r="CX44" s="1334"/>
      <c r="CY44" s="1335"/>
      <c r="CZ44" s="2762"/>
      <c r="DA44" s="2763"/>
      <c r="DB44" s="2763"/>
      <c r="DC44" s="2764"/>
      <c r="DD44" s="2762"/>
      <c r="DE44" s="2763"/>
      <c r="DF44" s="2763"/>
      <c r="DG44" s="2764"/>
      <c r="DH44" s="1319"/>
      <c r="DI44" s="1319"/>
      <c r="DJ44" s="1319"/>
      <c r="DK44" s="1319"/>
      <c r="DL44" s="2759">
        <v>0</v>
      </c>
      <c r="DM44" s="2760"/>
      <c r="DN44" s="2760"/>
      <c r="DO44" s="2761"/>
      <c r="DP44" s="2759">
        <v>0</v>
      </c>
      <c r="DQ44" s="2760"/>
      <c r="DR44" s="2760"/>
      <c r="DS44" s="2761"/>
      <c r="DT44" s="2762">
        <f>'11 - FINANCEIRA'!AA91</f>
        <v>619.52</v>
      </c>
      <c r="DU44" s="2763"/>
      <c r="DV44" s="2763"/>
      <c r="DW44" s="2764"/>
      <c r="DX44" s="2786">
        <f>$ES44/4</f>
        <v>7012.2825000000003</v>
      </c>
      <c r="DY44" s="2787"/>
      <c r="DZ44" s="2787"/>
      <c r="EA44" s="2788"/>
      <c r="EB44" s="2777">
        <f t="shared" ref="EB44" si="399">$ES44/4</f>
        <v>7012.2825000000003</v>
      </c>
      <c r="EC44" s="2778"/>
      <c r="ED44" s="2778"/>
      <c r="EE44" s="2779"/>
      <c r="EF44" s="2777">
        <f t="shared" ref="EF44" si="400">$ES44/4</f>
        <v>7012.2825000000003</v>
      </c>
      <c r="EG44" s="2778"/>
      <c r="EH44" s="2778"/>
      <c r="EI44" s="2779"/>
      <c r="EJ44" s="2777">
        <f t="shared" ref="EJ44" si="401">$ES44/4</f>
        <v>7012.2825000000003</v>
      </c>
      <c r="EK44" s="2778"/>
      <c r="EL44" s="2778"/>
      <c r="EM44" s="2779"/>
      <c r="EN44" s="2825">
        <f>SUM(H44:DW44)</f>
        <v>3961.8399999999997</v>
      </c>
      <c r="EO44" s="2826"/>
      <c r="ER44" s="978">
        <f>SUM(H44:DW44)</f>
        <v>3961.8399999999997</v>
      </c>
      <c r="ES44" s="978">
        <f t="shared" si="68"/>
        <v>28049.13</v>
      </c>
      <c r="ET44" s="978">
        <f>SUM(H44:EM44)</f>
        <v>32010.97</v>
      </c>
      <c r="EU44" t="str">
        <f t="shared" si="69"/>
        <v/>
      </c>
    </row>
    <row r="45" spans="1:151" ht="15" customHeight="1">
      <c r="A45" s="2827">
        <v>12</v>
      </c>
      <c r="B45" s="2830" t="s">
        <v>693</v>
      </c>
      <c r="C45" s="2831"/>
      <c r="D45" s="2832"/>
      <c r="E45" s="979"/>
      <c r="F45" s="2839">
        <f>EQ46</f>
        <v>142897.10999999996</v>
      </c>
      <c r="G45" s="2846">
        <f t="shared" ref="G45" si="402">F45</f>
        <v>142897.10999999996</v>
      </c>
      <c r="H45" s="979"/>
      <c r="I45" s="979"/>
      <c r="J45" s="979"/>
      <c r="K45" s="979"/>
      <c r="L45" s="979"/>
      <c r="M45" s="979"/>
      <c r="N45" s="979"/>
      <c r="O45" s="979"/>
      <c r="P45" s="979"/>
      <c r="Q45" s="979"/>
      <c r="R45" s="979"/>
      <c r="S45" s="979"/>
      <c r="T45" s="979"/>
      <c r="U45" s="979"/>
      <c r="V45" s="979"/>
      <c r="W45" s="979"/>
      <c r="X45" s="979"/>
      <c r="Y45" s="979"/>
      <c r="Z45" s="979"/>
      <c r="AA45" s="979"/>
      <c r="AB45" s="979"/>
      <c r="AC45" s="979"/>
      <c r="AD45" s="979"/>
      <c r="AE45" s="979"/>
      <c r="AF45" s="979"/>
      <c r="AG45" s="979"/>
      <c r="AH45" s="979"/>
      <c r="AI45" s="979"/>
      <c r="AJ45" s="979"/>
      <c r="AK45" s="979"/>
      <c r="AL45" s="979"/>
      <c r="AM45" s="979"/>
      <c r="AN45" s="979"/>
      <c r="AO45" s="979"/>
      <c r="AP45" s="979"/>
      <c r="AQ45" s="979"/>
      <c r="AR45" s="979"/>
      <c r="AS45" s="979"/>
      <c r="AT45" s="979"/>
      <c r="AU45" s="979"/>
      <c r="AV45" s="979"/>
      <c r="AW45" s="979"/>
      <c r="AX45" s="979"/>
      <c r="AY45" s="979"/>
      <c r="AZ45" s="979"/>
      <c r="BA45" s="979"/>
      <c r="BB45" s="979"/>
      <c r="BC45" s="979"/>
      <c r="BD45" s="979"/>
      <c r="BE45" s="979"/>
      <c r="BF45" s="979"/>
      <c r="BG45" s="979"/>
      <c r="BH45" s="979"/>
      <c r="BI45" s="979"/>
      <c r="BJ45" s="979"/>
      <c r="BK45" s="979"/>
      <c r="BL45" s="979"/>
      <c r="BM45" s="979"/>
      <c r="BN45" s="979"/>
      <c r="BO45" s="979"/>
      <c r="BP45" s="979"/>
      <c r="BQ45" s="979"/>
      <c r="BR45" s="979"/>
      <c r="BS45" s="979"/>
      <c r="BT45" s="979"/>
      <c r="BU45" s="979"/>
      <c r="BV45" s="979"/>
      <c r="BW45" s="979"/>
      <c r="BX45" s="979"/>
      <c r="BY45" s="979"/>
      <c r="BZ45" s="979"/>
      <c r="CA45" s="979"/>
      <c r="CB45" s="979"/>
      <c r="CC45" s="979"/>
      <c r="CD45" s="979"/>
      <c r="CE45" s="979"/>
      <c r="CF45" s="979"/>
      <c r="CG45" s="979"/>
      <c r="CH45" s="979"/>
      <c r="CI45" s="979"/>
      <c r="CJ45" s="979"/>
      <c r="CK45" s="979"/>
      <c r="CL45" s="979"/>
      <c r="CM45" s="979"/>
      <c r="CN45" s="979"/>
      <c r="CO45" s="979"/>
      <c r="CP45" s="979"/>
      <c r="CQ45" s="979"/>
      <c r="CR45" s="979"/>
      <c r="CS45" s="979"/>
      <c r="CT45" s="979"/>
      <c r="CU45" s="979"/>
      <c r="CV45" s="979"/>
      <c r="CW45" s="979"/>
      <c r="CX45" s="979"/>
      <c r="CY45" s="979"/>
      <c r="CZ45" s="979"/>
      <c r="DA45" s="979"/>
      <c r="DB45" s="979"/>
      <c r="DC45" s="979"/>
      <c r="DD45" s="979"/>
      <c r="DE45" s="979"/>
      <c r="DF45" s="979"/>
      <c r="DG45" s="979"/>
      <c r="DH45" s="979"/>
      <c r="DI45" s="979"/>
      <c r="DJ45" s="979"/>
      <c r="DK45" s="1391"/>
      <c r="DL45" s="979"/>
      <c r="DM45" s="979"/>
      <c r="DN45" s="979"/>
      <c r="DO45" s="979"/>
      <c r="DP45" s="979"/>
      <c r="DQ45" s="979"/>
      <c r="DR45" s="979"/>
      <c r="DS45" s="979"/>
      <c r="DT45" s="1337"/>
      <c r="DU45" s="1337"/>
      <c r="DV45" s="1337"/>
      <c r="DW45" s="1337"/>
      <c r="DX45" s="1393"/>
      <c r="DY45" s="1393"/>
      <c r="DZ45" s="1393"/>
      <c r="EA45" s="1393"/>
      <c r="EB45" s="1392"/>
      <c r="EC45" s="1392"/>
      <c r="ED45" s="1392"/>
      <c r="EE45" s="1392"/>
      <c r="EF45" s="1392"/>
      <c r="EG45" s="1392"/>
      <c r="EH45" s="1392"/>
      <c r="EI45" s="1392"/>
      <c r="EJ45" s="1392"/>
      <c r="EK45" s="1392"/>
      <c r="EL45" s="1392"/>
      <c r="EM45" s="1392"/>
      <c r="EN45" s="2825"/>
      <c r="EO45" s="2826"/>
      <c r="ES45" s="978" t="str">
        <f t="shared" si="68"/>
        <v/>
      </c>
      <c r="EU45" t="str">
        <f t="shared" si="69"/>
        <v/>
      </c>
    </row>
    <row r="46" spans="1:151">
      <c r="A46" s="2828"/>
      <c r="B46" s="2833"/>
      <c r="C46" s="2834"/>
      <c r="D46" s="2835"/>
      <c r="E46" s="980" t="s">
        <v>683</v>
      </c>
      <c r="F46" s="2840"/>
      <c r="G46" s="2847"/>
      <c r="H46" s="2753" t="str">
        <f>IF(H47="","",H47/$G45)</f>
        <v/>
      </c>
      <c r="I46" s="2754"/>
      <c r="J46" s="2754"/>
      <c r="K46" s="2755"/>
      <c r="L46" s="2753">
        <f t="shared" ref="L46" si="403">IF(L47="","",L47/$G45)</f>
        <v>3.4413642095350992E-2</v>
      </c>
      <c r="M46" s="2754"/>
      <c r="N46" s="2754"/>
      <c r="O46" s="2755"/>
      <c r="P46" s="2753">
        <f t="shared" ref="P46" si="404">IF(P47="","",P47/$G45)</f>
        <v>4.043608719588522E-2</v>
      </c>
      <c r="Q46" s="2754"/>
      <c r="R46" s="2754"/>
      <c r="S46" s="2755"/>
      <c r="T46" s="2753">
        <f t="shared" ref="T46" si="405">IF(T47="","",T47/$G45)</f>
        <v>3.3518942405483226E-2</v>
      </c>
      <c r="U46" s="2754"/>
      <c r="V46" s="2754"/>
      <c r="W46" s="2755"/>
      <c r="X46" s="2753">
        <f t="shared" ref="X46" si="406">IF(X47="","",X47/$G45)</f>
        <v>3.4413642095350992E-2</v>
      </c>
      <c r="Y46" s="2754"/>
      <c r="Z46" s="2754"/>
      <c r="AA46" s="2755"/>
      <c r="AB46" s="2753">
        <f t="shared" ref="AB46" si="407">IF(AB47="","",AB47/$G45)</f>
        <v>1.0365709985317412E-2</v>
      </c>
      <c r="AC46" s="2754"/>
      <c r="AD46" s="2754"/>
      <c r="AE46" s="2755"/>
      <c r="AF46" s="2753" t="str">
        <f t="shared" ref="AF46" si="408">IF(AF47="","",AF47/$G45)</f>
        <v/>
      </c>
      <c r="AG46" s="2754"/>
      <c r="AH46" s="2754"/>
      <c r="AI46" s="2755"/>
      <c r="AJ46" s="2753">
        <f t="shared" ref="AJ46" si="409">IF(AJ47="","",AJ47/$G45)</f>
        <v>0.35160263213160864</v>
      </c>
      <c r="AK46" s="2754"/>
      <c r="AL46" s="2754"/>
      <c r="AM46" s="2755"/>
      <c r="AN46" s="2753" t="str">
        <f t="shared" ref="AN46" si="410">IF(AN47="","",AN47/$G45)</f>
        <v/>
      </c>
      <c r="AO46" s="2754"/>
      <c r="AP46" s="2754"/>
      <c r="AQ46" s="2755"/>
      <c r="AR46" s="2753" t="str">
        <f t="shared" ref="AR46" si="411">IF(AR47="","",AR47/$G45)</f>
        <v/>
      </c>
      <c r="AS46" s="2754"/>
      <c r="AT46" s="2754"/>
      <c r="AU46" s="2755"/>
      <c r="AV46" s="2753" t="str">
        <f t="shared" ref="AV46" si="412">IF(AV47="","",AV47/$G45)</f>
        <v/>
      </c>
      <c r="AW46" s="2754"/>
      <c r="AX46" s="2754"/>
      <c r="AY46" s="2755"/>
      <c r="AZ46" s="2753" t="str">
        <f t="shared" ref="AZ46" si="413">IF(AZ47="","",AZ47/$G45)</f>
        <v/>
      </c>
      <c r="BA46" s="2754"/>
      <c r="BB46" s="2754"/>
      <c r="BC46" s="2755"/>
      <c r="BD46" s="2753" t="str">
        <f t="shared" ref="BD46" si="414">IF(BD47="","",BD47/$G45)</f>
        <v/>
      </c>
      <c r="BE46" s="2754"/>
      <c r="BF46" s="2754"/>
      <c r="BG46" s="2755"/>
      <c r="BH46" s="2753">
        <f t="shared" ref="BH46" si="415">IF(BH47="","",BH47/$G45)</f>
        <v>1.1940899294604351E-2</v>
      </c>
      <c r="BI46" s="2754"/>
      <c r="BJ46" s="2754"/>
      <c r="BK46" s="2755"/>
      <c r="BL46" s="2753">
        <f t="shared" ref="BL46" si="416">IF(BL47="","",BL47/$G45)</f>
        <v>4.043608719588522E-2</v>
      </c>
      <c r="BM46" s="2754"/>
      <c r="BN46" s="2754"/>
      <c r="BO46" s="2755"/>
      <c r="BP46" s="2753">
        <f t="shared" ref="BP46" si="417">IF(BP47="","",BP47/$G45)</f>
        <v>7.4849729291236206E-2</v>
      </c>
      <c r="BQ46" s="2754"/>
      <c r="BR46" s="2754"/>
      <c r="BS46" s="2755"/>
      <c r="BT46" s="2753" t="str">
        <f t="shared" ref="BT46" si="418">IF(BT47="","",BT47/$G45)</f>
        <v/>
      </c>
      <c r="BU46" s="2754"/>
      <c r="BV46" s="2754"/>
      <c r="BW46" s="2755"/>
      <c r="BX46" s="2753" t="str">
        <f t="shared" ref="BX46" si="419">IF(BX47="","",BX47/$G45)</f>
        <v/>
      </c>
      <c r="BY46" s="2754"/>
      <c r="BZ46" s="2754"/>
      <c r="CA46" s="2755"/>
      <c r="CB46" s="2753" t="str">
        <f t="shared" ref="CB46" si="420">IF(CB47="","",CB47/$G45)</f>
        <v/>
      </c>
      <c r="CC46" s="2754"/>
      <c r="CD46" s="2754"/>
      <c r="CE46" s="2755"/>
      <c r="CF46" s="2753" t="str">
        <f t="shared" ref="CF46" si="421">IF(CF47="","",CF47/$G45)</f>
        <v/>
      </c>
      <c r="CG46" s="2754"/>
      <c r="CH46" s="2754"/>
      <c r="CI46" s="2755"/>
      <c r="CJ46" s="1133" t="str">
        <f t="shared" ref="CJ46" si="422">IF(CJ47="","",CJ47/$G45)</f>
        <v/>
      </c>
      <c r="CK46" s="1134"/>
      <c r="CL46" s="1134"/>
      <c r="CM46" s="1135"/>
      <c r="CN46" s="2768" t="str">
        <f t="shared" ref="CN46" si="423">IF(CN47="","",CN47/$G45)</f>
        <v/>
      </c>
      <c r="CO46" s="2769"/>
      <c r="CP46" s="2769"/>
      <c r="CQ46" s="2770"/>
      <c r="CR46" s="2765">
        <f t="shared" ref="CR46" si="424">IF(CR47="","",CR47/$G45)</f>
        <v>5.9886935432074177E-2</v>
      </c>
      <c r="CS46" s="2766"/>
      <c r="CT46" s="2766"/>
      <c r="CU46" s="2767"/>
      <c r="CV46" s="2771" t="str">
        <f t="shared" ref="CV46" si="425">IF(CV47="","",CV47/$G45)</f>
        <v/>
      </c>
      <c r="CW46" s="2772"/>
      <c r="CX46" s="2772"/>
      <c r="CY46" s="2773"/>
      <c r="CZ46" s="2753" t="str">
        <f t="shared" ref="CZ46" si="426">IF(CZ47="","",CZ47/$G45)</f>
        <v/>
      </c>
      <c r="DA46" s="2754"/>
      <c r="DB46" s="2754"/>
      <c r="DC46" s="2755"/>
      <c r="DD46" s="2753" t="str">
        <f t="shared" ref="DD46" si="427">IF(DD47="","",DD47/$G45)</f>
        <v/>
      </c>
      <c r="DE46" s="2754"/>
      <c r="DF46" s="2754"/>
      <c r="DG46" s="2755"/>
      <c r="DH46" s="1320" t="str">
        <f t="shared" ref="DH46" si="428">IF(DH47="","",DH47/$G45)</f>
        <v/>
      </c>
      <c r="DI46" s="1320"/>
      <c r="DJ46" s="1320"/>
      <c r="DK46" s="1320"/>
      <c r="DL46" s="2768">
        <f t="shared" ref="DL46" si="429">IF(DL47="","",DL47/$G45)</f>
        <v>4.2328847658290689E-2</v>
      </c>
      <c r="DM46" s="2769"/>
      <c r="DN46" s="2769"/>
      <c r="DO46" s="2770"/>
      <c r="DP46" s="2768">
        <f t="shared" ref="DP46" si="430">IF(DP47="","",DP47/$G45)</f>
        <v>6.2977060907669871E-2</v>
      </c>
      <c r="DQ46" s="2769"/>
      <c r="DR46" s="2769"/>
      <c r="DS46" s="2770"/>
      <c r="DT46" s="2768">
        <f t="shared" ref="DT46" si="431">IF(DT47="","",DT47/$G45)</f>
        <v>1.1356562774432599E-2</v>
      </c>
      <c r="DU46" s="2769"/>
      <c r="DV46" s="2769"/>
      <c r="DW46" s="2770"/>
      <c r="DX46" s="2783">
        <f t="shared" ref="DX46" si="432">IF(DX47="","",DX47/$G45)</f>
        <v>4.7868305384202579E-2</v>
      </c>
      <c r="DY46" s="2784"/>
      <c r="DZ46" s="2784"/>
      <c r="EA46" s="2785"/>
      <c r="EB46" s="2774">
        <f t="shared" ref="EB46" si="433">IF(EB47="","",EB47/$G45)</f>
        <v>4.7868305384202579E-2</v>
      </c>
      <c r="EC46" s="2775"/>
      <c r="ED46" s="2775"/>
      <c r="EE46" s="2776"/>
      <c r="EF46" s="2774">
        <f t="shared" ref="EF46" si="434">IF(EF47="","",EF47/$G45)</f>
        <v>4.7868305384202579E-2</v>
      </c>
      <c r="EG46" s="2775"/>
      <c r="EH46" s="2775"/>
      <c r="EI46" s="2776"/>
      <c r="EJ46" s="2774">
        <f t="shared" ref="EJ46" si="435">IF(EJ47="","",EJ47/$G45)</f>
        <v>4.7868305384202579E-2</v>
      </c>
      <c r="EK46" s="2775"/>
      <c r="EL46" s="2775"/>
      <c r="EM46" s="2776"/>
      <c r="EN46" s="2842">
        <f>EN47/F45</f>
        <v>0.80852677846318965</v>
      </c>
      <c r="EO46" s="2826"/>
      <c r="EQ46">
        <v>142897.10999999996</v>
      </c>
      <c r="ES46" s="978" t="str">
        <f t="shared" si="68"/>
        <v/>
      </c>
      <c r="EU46" t="str">
        <f t="shared" si="69"/>
        <v/>
      </c>
    </row>
    <row r="47" spans="1:151">
      <c r="A47" s="2829"/>
      <c r="B47" s="2836"/>
      <c r="C47" s="2837"/>
      <c r="D47" s="2838"/>
      <c r="E47" s="979" t="s">
        <v>684</v>
      </c>
      <c r="F47" s="2841"/>
      <c r="G47" s="2848"/>
      <c r="H47" s="2843"/>
      <c r="I47" s="2844"/>
      <c r="J47" s="2844"/>
      <c r="K47" s="2845"/>
      <c r="L47" s="2759">
        <v>4917.6099999999997</v>
      </c>
      <c r="M47" s="2760"/>
      <c r="N47" s="2760"/>
      <c r="O47" s="2761"/>
      <c r="P47" s="2759">
        <v>5778.2</v>
      </c>
      <c r="Q47" s="2760"/>
      <c r="R47" s="2760"/>
      <c r="S47" s="2761"/>
      <c r="T47" s="2759">
        <v>4789.76</v>
      </c>
      <c r="U47" s="2760"/>
      <c r="V47" s="2760"/>
      <c r="W47" s="2761"/>
      <c r="X47" s="2759">
        <v>4917.6099999999997</v>
      </c>
      <c r="Y47" s="2760"/>
      <c r="Z47" s="2760"/>
      <c r="AA47" s="2761"/>
      <c r="AB47" s="2759">
        <v>1481.23</v>
      </c>
      <c r="AC47" s="2760"/>
      <c r="AD47" s="2760"/>
      <c r="AE47" s="2761"/>
      <c r="AF47" s="2762"/>
      <c r="AG47" s="2763"/>
      <c r="AH47" s="2763"/>
      <c r="AI47" s="2764"/>
      <c r="AJ47" s="2759">
        <v>50243</v>
      </c>
      <c r="AK47" s="2760"/>
      <c r="AL47" s="2760"/>
      <c r="AM47" s="2761"/>
      <c r="AN47" s="2798"/>
      <c r="AO47" s="2799"/>
      <c r="AP47" s="2799"/>
      <c r="AQ47" s="2800"/>
      <c r="AR47" s="2798"/>
      <c r="AS47" s="2799"/>
      <c r="AT47" s="2799"/>
      <c r="AU47" s="2800"/>
      <c r="AV47" s="2798"/>
      <c r="AW47" s="2799"/>
      <c r="AX47" s="2799"/>
      <c r="AY47" s="2800"/>
      <c r="AZ47" s="2798"/>
      <c r="BA47" s="2799"/>
      <c r="BB47" s="2799"/>
      <c r="BC47" s="2800"/>
      <c r="BD47" s="2798"/>
      <c r="BE47" s="2799"/>
      <c r="BF47" s="2799"/>
      <c r="BG47" s="2800"/>
      <c r="BH47" s="2759">
        <v>1706.32</v>
      </c>
      <c r="BI47" s="2760"/>
      <c r="BJ47" s="2760"/>
      <c r="BK47" s="2761"/>
      <c r="BL47" s="2759">
        <v>5778.2</v>
      </c>
      <c r="BM47" s="2760"/>
      <c r="BN47" s="2760"/>
      <c r="BO47" s="2761"/>
      <c r="BP47" s="2759">
        <v>10695.81</v>
      </c>
      <c r="BQ47" s="2760"/>
      <c r="BR47" s="2760"/>
      <c r="BS47" s="2761"/>
      <c r="BT47" s="2798"/>
      <c r="BU47" s="2799"/>
      <c r="BV47" s="2799"/>
      <c r="BW47" s="2800"/>
      <c r="BX47" s="992"/>
      <c r="BY47" s="993"/>
      <c r="BZ47" s="993"/>
      <c r="CA47" s="994"/>
      <c r="CB47" s="2798"/>
      <c r="CC47" s="2799"/>
      <c r="CD47" s="2799"/>
      <c r="CE47" s="2800"/>
      <c r="CF47" s="2798"/>
      <c r="CG47" s="2799"/>
      <c r="CH47" s="2799"/>
      <c r="CI47" s="2800"/>
      <c r="CJ47" s="2798"/>
      <c r="CK47" s="2799"/>
      <c r="CL47" s="2799"/>
      <c r="CM47" s="2800"/>
      <c r="CN47" s="2798"/>
      <c r="CO47" s="2799"/>
      <c r="CP47" s="2799"/>
      <c r="CQ47" s="2800"/>
      <c r="CR47" s="2759">
        <v>8557.6699999999983</v>
      </c>
      <c r="CS47" s="2760"/>
      <c r="CT47" s="2760"/>
      <c r="CU47" s="2761"/>
      <c r="CV47" s="992"/>
      <c r="CW47" s="993"/>
      <c r="CX47" s="993"/>
      <c r="CY47" s="994"/>
      <c r="CZ47" s="2798"/>
      <c r="DA47" s="2799"/>
      <c r="DB47" s="2799"/>
      <c r="DC47" s="2800"/>
      <c r="DD47" s="2798"/>
      <c r="DE47" s="2799"/>
      <c r="DF47" s="2799"/>
      <c r="DG47" s="2800"/>
      <c r="DH47" s="1318"/>
      <c r="DI47" s="1318"/>
      <c r="DJ47" s="1318"/>
      <c r="DK47" s="1318"/>
      <c r="DL47" s="2759">
        <v>6048.6700000000055</v>
      </c>
      <c r="DM47" s="2760"/>
      <c r="DN47" s="2760"/>
      <c r="DO47" s="2761"/>
      <c r="DP47" s="2759">
        <v>8999.239999999998</v>
      </c>
      <c r="DQ47" s="2760"/>
      <c r="DR47" s="2760"/>
      <c r="DS47" s="2761"/>
      <c r="DT47" s="2759">
        <f>'11 - FINANCEIRA'!AA99</f>
        <v>1622.8199999999997</v>
      </c>
      <c r="DU47" s="2760"/>
      <c r="DV47" s="2760"/>
      <c r="DW47" s="2761"/>
      <c r="DX47" s="2786">
        <f>$ES47/4</f>
        <v>6840.2424999999857</v>
      </c>
      <c r="DY47" s="2787"/>
      <c r="DZ47" s="2787"/>
      <c r="EA47" s="2788"/>
      <c r="EB47" s="2777">
        <f t="shared" ref="EB47" si="436">$ES47/4</f>
        <v>6840.2424999999857</v>
      </c>
      <c r="EC47" s="2778"/>
      <c r="ED47" s="2778"/>
      <c r="EE47" s="2779"/>
      <c r="EF47" s="2777">
        <f t="shared" ref="EF47" si="437">$ES47/4</f>
        <v>6840.2424999999857</v>
      </c>
      <c r="EG47" s="2778"/>
      <c r="EH47" s="2778"/>
      <c r="EI47" s="2779"/>
      <c r="EJ47" s="2777">
        <f t="shared" ref="EJ47" si="438">$ES47/4</f>
        <v>6840.2424999999857</v>
      </c>
      <c r="EK47" s="2778"/>
      <c r="EL47" s="2778"/>
      <c r="EM47" s="2779"/>
      <c r="EN47" s="2825">
        <f>SUM(H47:DW47)</f>
        <v>115536.14000000001</v>
      </c>
      <c r="EO47" s="2826"/>
      <c r="ER47" s="978">
        <f>SUM(H47:DW47)</f>
        <v>115536.14000000001</v>
      </c>
      <c r="ES47" s="978">
        <f t="shared" si="68"/>
        <v>27360.969999999943</v>
      </c>
      <c r="ET47" s="978">
        <f>SUM(H47:EM47)</f>
        <v>142897.10999999999</v>
      </c>
      <c r="EU47" t="str">
        <f t="shared" si="69"/>
        <v/>
      </c>
    </row>
    <row r="48" spans="1:151" ht="15" customHeight="1">
      <c r="A48" s="2827">
        <v>13</v>
      </c>
      <c r="B48" s="2830" t="s">
        <v>694</v>
      </c>
      <c r="C48" s="2831"/>
      <c r="D48" s="2832"/>
      <c r="E48" s="979"/>
      <c r="F48" s="2839">
        <f>EQ49</f>
        <v>4702688.17</v>
      </c>
      <c r="G48" s="2846">
        <f t="shared" ref="G48" si="439">F48</f>
        <v>4702688.17</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c r="AU48" s="979"/>
      <c r="AV48" s="979"/>
      <c r="AW48" s="979"/>
      <c r="AX48" s="979"/>
      <c r="AY48" s="979"/>
      <c r="AZ48" s="979"/>
      <c r="BA48" s="979"/>
      <c r="BB48" s="979"/>
      <c r="BC48" s="979"/>
      <c r="BD48" s="979"/>
      <c r="BE48" s="979"/>
      <c r="BF48" s="979"/>
      <c r="BG48" s="979"/>
      <c r="BH48" s="979"/>
      <c r="BI48" s="979"/>
      <c r="BJ48" s="979"/>
      <c r="BK48" s="979"/>
      <c r="BL48" s="979"/>
      <c r="BM48" s="979"/>
      <c r="BN48" s="979"/>
      <c r="BO48" s="979"/>
      <c r="BP48" s="979"/>
      <c r="BQ48" s="979"/>
      <c r="BR48" s="979"/>
      <c r="BS48" s="979"/>
      <c r="BT48" s="979"/>
      <c r="BU48" s="979"/>
      <c r="BV48" s="979"/>
      <c r="BW48" s="979"/>
      <c r="BX48" s="979"/>
      <c r="BY48" s="979"/>
      <c r="BZ48" s="979"/>
      <c r="CA48" s="979"/>
      <c r="CB48" s="979"/>
      <c r="CC48" s="979"/>
      <c r="CD48" s="979"/>
      <c r="CE48" s="979"/>
      <c r="CF48" s="979"/>
      <c r="CG48" s="979"/>
      <c r="CH48" s="979"/>
      <c r="CI48" s="979"/>
      <c r="CJ48" s="979"/>
      <c r="CK48" s="979"/>
      <c r="CL48" s="979"/>
      <c r="CM48" s="979"/>
      <c r="CN48" s="979"/>
      <c r="CO48" s="979"/>
      <c r="CP48" s="979"/>
      <c r="CQ48" s="979"/>
      <c r="CR48" s="979"/>
      <c r="CS48" s="979"/>
      <c r="CT48" s="979"/>
      <c r="CU48" s="979"/>
      <c r="CV48" s="979"/>
      <c r="CW48" s="979"/>
      <c r="CX48" s="979"/>
      <c r="CY48" s="979"/>
      <c r="CZ48" s="979"/>
      <c r="DA48" s="979"/>
      <c r="DB48" s="979"/>
      <c r="DC48" s="979"/>
      <c r="DD48" s="979"/>
      <c r="DE48" s="979"/>
      <c r="DF48" s="979"/>
      <c r="DG48" s="979"/>
      <c r="DH48" s="979"/>
      <c r="DI48" s="979"/>
      <c r="DJ48" s="979"/>
      <c r="DK48" s="1391"/>
      <c r="DL48" s="979"/>
      <c r="DM48" s="979"/>
      <c r="DN48" s="979"/>
      <c r="DO48" s="979"/>
      <c r="DP48" s="979"/>
      <c r="DQ48" s="979"/>
      <c r="DR48" s="979"/>
      <c r="DS48" s="979"/>
      <c r="DT48" s="979"/>
      <c r="DU48" s="979"/>
      <c r="DV48" s="979"/>
      <c r="DW48" s="979"/>
      <c r="DX48" s="1393"/>
      <c r="DY48" s="1393"/>
      <c r="DZ48" s="1393"/>
      <c r="EA48" s="1393"/>
      <c r="EB48" s="1392"/>
      <c r="EC48" s="1392"/>
      <c r="ED48" s="1392"/>
      <c r="EE48" s="1392"/>
      <c r="EF48" s="1392"/>
      <c r="EG48" s="1392"/>
      <c r="EH48" s="1392"/>
      <c r="EI48" s="1392"/>
      <c r="EJ48" s="1392"/>
      <c r="EK48" s="1392"/>
      <c r="EL48" s="1392"/>
      <c r="EM48" s="1392"/>
      <c r="EN48" s="2825"/>
      <c r="EO48" s="2826"/>
      <c r="ES48" s="978" t="str">
        <f t="shared" si="68"/>
        <v/>
      </c>
      <c r="EU48" t="str">
        <f t="shared" si="69"/>
        <v/>
      </c>
    </row>
    <row r="49" spans="1:151">
      <c r="A49" s="2828"/>
      <c r="B49" s="2833"/>
      <c r="C49" s="2834"/>
      <c r="D49" s="2835"/>
      <c r="E49" s="980" t="s">
        <v>683</v>
      </c>
      <c r="F49" s="2840"/>
      <c r="G49" s="2847"/>
      <c r="H49" s="2753" t="str">
        <f>IF(H50="","",H50/$G48)</f>
        <v/>
      </c>
      <c r="I49" s="2754"/>
      <c r="J49" s="2754"/>
      <c r="K49" s="2755"/>
      <c r="L49" s="2753">
        <f t="shared" ref="L49" si="440">IF(L50="","",L50/$G48)</f>
        <v>4.5557677280566956E-2</v>
      </c>
      <c r="M49" s="2754"/>
      <c r="N49" s="2754"/>
      <c r="O49" s="2755"/>
      <c r="P49" s="2753">
        <f t="shared" ref="P49" si="441">IF(P50="","",P50/$G48)</f>
        <v>5.4549562022097667E-2</v>
      </c>
      <c r="Q49" s="2754"/>
      <c r="R49" s="2754"/>
      <c r="S49" s="2755"/>
      <c r="T49" s="2753">
        <f t="shared" ref="T49" si="442">IF(T50="","",T50/$G48)</f>
        <v>4.9678771280299454E-2</v>
      </c>
      <c r="U49" s="2754"/>
      <c r="V49" s="2754"/>
      <c r="W49" s="2755"/>
      <c r="X49" s="2753">
        <f t="shared" ref="X49" si="443">IF(X50="","",X50/$G48)</f>
        <v>4.3029676364869415E-2</v>
      </c>
      <c r="Y49" s="2754"/>
      <c r="Z49" s="2754"/>
      <c r="AA49" s="2755"/>
      <c r="AB49" s="2753">
        <f t="shared" ref="AB49" si="444">IF(AB50="","",AB50/$G48)</f>
        <v>5.7241382007261601E-2</v>
      </c>
      <c r="AC49" s="2754"/>
      <c r="AD49" s="2754"/>
      <c r="AE49" s="2755"/>
      <c r="AF49" s="2753">
        <f t="shared" ref="AF49" si="445">IF(AF50="","",AF50/$G48)</f>
        <v>-1.8332663549750102E-3</v>
      </c>
      <c r="AG49" s="2754"/>
      <c r="AH49" s="2754"/>
      <c r="AI49" s="2755"/>
      <c r="AJ49" s="2753" t="str">
        <f t="shared" ref="AJ49" si="446">IF(AJ50="","",AJ50/$G48)</f>
        <v/>
      </c>
      <c r="AK49" s="2754"/>
      <c r="AL49" s="2754"/>
      <c r="AM49" s="2755"/>
      <c r="AN49" s="2753" t="str">
        <f t="shared" ref="AN49" si="447">IF(AN50="","",AN50/$G48)</f>
        <v/>
      </c>
      <c r="AO49" s="2754"/>
      <c r="AP49" s="2754"/>
      <c r="AQ49" s="2755"/>
      <c r="AR49" s="2753" t="str">
        <f t="shared" ref="AR49" si="448">IF(AR50="","",AR50/$G48)</f>
        <v/>
      </c>
      <c r="AS49" s="2754"/>
      <c r="AT49" s="2754"/>
      <c r="AU49" s="2755"/>
      <c r="AV49" s="2753" t="str">
        <f t="shared" ref="AV49" si="449">IF(AV50="","",AV50/$G48)</f>
        <v/>
      </c>
      <c r="AW49" s="2754"/>
      <c r="AX49" s="2754"/>
      <c r="AY49" s="2755"/>
      <c r="AZ49" s="2753">
        <f t="shared" ref="AZ49" si="450">IF(AZ50="","",AZ50/$G48)</f>
        <v>7.7928598867740787E-3</v>
      </c>
      <c r="BA49" s="2754"/>
      <c r="BB49" s="2754"/>
      <c r="BC49" s="2755"/>
      <c r="BD49" s="2753" t="str">
        <f t="shared" ref="BD49" si="451">IF(BD50="","",BD50/$G48)</f>
        <v/>
      </c>
      <c r="BE49" s="2754"/>
      <c r="BF49" s="2754"/>
      <c r="BG49" s="2755"/>
      <c r="BH49" s="2753">
        <f t="shared" ref="BH49" si="452">IF(BH50="","",BH50/$G48)</f>
        <v>9.0690514570095346E-2</v>
      </c>
      <c r="BI49" s="2754"/>
      <c r="BJ49" s="2754"/>
      <c r="BK49" s="2755"/>
      <c r="BL49" s="2753">
        <f t="shared" ref="BL49" si="453">IF(BL50="","",BL50/$G48)</f>
        <v>6.3147829340340883E-2</v>
      </c>
      <c r="BM49" s="2754"/>
      <c r="BN49" s="2754"/>
      <c r="BO49" s="2755"/>
      <c r="BP49" s="2753">
        <f t="shared" ref="BP49" si="454">IF(BP50="","",BP50/$G48)</f>
        <v>0.12775581715850831</v>
      </c>
      <c r="BQ49" s="2754"/>
      <c r="BR49" s="2754"/>
      <c r="BS49" s="2755"/>
      <c r="BT49" s="2753">
        <f t="shared" ref="BT49" si="455">IF(BT50="","",BT50/$G48)</f>
        <v>2.2473123069097732E-2</v>
      </c>
      <c r="BU49" s="2754"/>
      <c r="BV49" s="2754"/>
      <c r="BW49" s="2755"/>
      <c r="BX49" s="2753">
        <f t="shared" ref="BX49" si="456">IF(BX50="","",BX50/$G48)</f>
        <v>1.6053465012118802E-2</v>
      </c>
      <c r="BY49" s="2754"/>
      <c r="BZ49" s="2754"/>
      <c r="CA49" s="2755"/>
      <c r="CB49" s="2753" t="str">
        <f t="shared" ref="CB49" si="457">IF(CB50="","",CB50/$G48)</f>
        <v/>
      </c>
      <c r="CC49" s="2754"/>
      <c r="CD49" s="2754"/>
      <c r="CE49" s="2755"/>
      <c r="CF49" s="2753">
        <f t="shared" ref="CF49" si="458">IF(CF50="","",CF50/$G48)</f>
        <v>-2.7241100274781774E-3</v>
      </c>
      <c r="CG49" s="2754"/>
      <c r="CH49" s="2754"/>
      <c r="CI49" s="2755"/>
      <c r="CJ49" s="2753">
        <f t="shared" ref="CJ49" si="459">IF(CJ50="","",CJ50/$G48)</f>
        <v>4.0060938167626806E-3</v>
      </c>
      <c r="CK49" s="2754"/>
      <c r="CL49" s="2754"/>
      <c r="CM49" s="2755"/>
      <c r="CN49" s="2768">
        <f t="shared" ref="CN49" si="460">IF(CN50="","",CN50/$G48)</f>
        <v>5.1366110460179613E-3</v>
      </c>
      <c r="CO49" s="2769"/>
      <c r="CP49" s="2769"/>
      <c r="CQ49" s="2770"/>
      <c r="CR49" s="2765">
        <f t="shared" ref="CR49" si="461">IF(CR50="","",CR50/$G48)</f>
        <v>4.6166190942658232E-3</v>
      </c>
      <c r="CS49" s="2766"/>
      <c r="CT49" s="2766"/>
      <c r="CU49" s="2767"/>
      <c r="CV49" s="2771">
        <f t="shared" ref="CV49" si="462">IF(CV50="","",CV50/$G48)</f>
        <v>2.1108735347000478E-3</v>
      </c>
      <c r="CW49" s="2772"/>
      <c r="CX49" s="2772"/>
      <c r="CY49" s="2773"/>
      <c r="CZ49" s="2753" t="str">
        <f t="shared" ref="CZ49" si="463">IF(CZ50="","",CZ50/$G48)</f>
        <v/>
      </c>
      <c r="DA49" s="2754"/>
      <c r="DB49" s="2754"/>
      <c r="DC49" s="2755"/>
      <c r="DD49" s="2753" t="str">
        <f t="shared" ref="DD49" si="464">IF(DD50="","",DD50/$G48)</f>
        <v/>
      </c>
      <c r="DE49" s="2754"/>
      <c r="DF49" s="2754"/>
      <c r="DG49" s="2755"/>
      <c r="DH49" s="1320" t="str">
        <f t="shared" ref="DH49" si="465">IF(DH50="","",DH50/$G48)</f>
        <v/>
      </c>
      <c r="DI49" s="1320"/>
      <c r="DJ49" s="1320"/>
      <c r="DK49" s="1320"/>
      <c r="DL49" s="2768">
        <f t="shared" ref="DL49" si="466">IF(DL50="","",DL50/$G48)</f>
        <v>0.15093191688276453</v>
      </c>
      <c r="DM49" s="2769"/>
      <c r="DN49" s="2769"/>
      <c r="DO49" s="2770"/>
      <c r="DP49" s="2768">
        <f t="shared" ref="DP49" si="467">IF(DP50="","",DP50/$G48)</f>
        <v>9.5865291021411711E-2</v>
      </c>
      <c r="DQ49" s="2769"/>
      <c r="DR49" s="2769"/>
      <c r="DS49" s="2770"/>
      <c r="DT49" s="2768">
        <f t="shared" ref="DT49" si="468">IF(DT50="","",DT50/$G48)</f>
        <v>2.5334597084288511E-2</v>
      </c>
      <c r="DU49" s="2769"/>
      <c r="DV49" s="2769"/>
      <c r="DW49" s="2770"/>
      <c r="DX49" s="2783">
        <f t="shared" ref="DX49" si="469">IF(DX50="","",DX50/$G48)</f>
        <v>3.4646173977552944E-2</v>
      </c>
      <c r="DY49" s="2784"/>
      <c r="DZ49" s="2784"/>
      <c r="EA49" s="2785"/>
      <c r="EB49" s="2774">
        <f t="shared" ref="EB49" si="470">IF(EB50="","",EB50/$G48)</f>
        <v>3.4646173977552944E-2</v>
      </c>
      <c r="EC49" s="2775"/>
      <c r="ED49" s="2775"/>
      <c r="EE49" s="2776"/>
      <c r="EF49" s="2774">
        <f t="shared" ref="EF49" si="471">IF(EF50="","",EF50/$G48)</f>
        <v>3.4646173977552944E-2</v>
      </c>
      <c r="EG49" s="2775"/>
      <c r="EH49" s="2775"/>
      <c r="EI49" s="2776"/>
      <c r="EJ49" s="2774">
        <f t="shared" ref="EJ49" si="472">IF(EJ50="","",EJ50/$G48)</f>
        <v>3.4646173977552944E-2</v>
      </c>
      <c r="EK49" s="2775"/>
      <c r="EL49" s="2775"/>
      <c r="EM49" s="2776"/>
      <c r="EN49" s="2842">
        <f>EN50/F48</f>
        <v>0.86141530408978817</v>
      </c>
      <c r="EO49" s="2826"/>
      <c r="EQ49">
        <v>4702688.17</v>
      </c>
      <c r="ES49" s="978" t="str">
        <f t="shared" si="68"/>
        <v/>
      </c>
      <c r="EU49" t="str">
        <f t="shared" si="69"/>
        <v/>
      </c>
    </row>
    <row r="50" spans="1:151">
      <c r="A50" s="2829"/>
      <c r="B50" s="2836"/>
      <c r="C50" s="2837"/>
      <c r="D50" s="2838"/>
      <c r="E50" s="979" t="s">
        <v>684</v>
      </c>
      <c r="F50" s="2841"/>
      <c r="G50" s="2848"/>
      <c r="H50" s="2843"/>
      <c r="I50" s="2844"/>
      <c r="J50" s="2844"/>
      <c r="K50" s="2845"/>
      <c r="L50" s="2759">
        <v>214243.55</v>
      </c>
      <c r="M50" s="2760"/>
      <c r="N50" s="2760"/>
      <c r="O50" s="2761"/>
      <c r="P50" s="2759">
        <v>256529.58</v>
      </c>
      <c r="Q50" s="2760"/>
      <c r="R50" s="2760"/>
      <c r="S50" s="2761"/>
      <c r="T50" s="2759">
        <v>233623.77</v>
      </c>
      <c r="U50" s="2760"/>
      <c r="V50" s="2760"/>
      <c r="W50" s="2761"/>
      <c r="X50" s="2759">
        <v>202355.15</v>
      </c>
      <c r="Y50" s="2760"/>
      <c r="Z50" s="2760"/>
      <c r="AA50" s="2761"/>
      <c r="AB50" s="2759">
        <v>269188.37</v>
      </c>
      <c r="AC50" s="2760"/>
      <c r="AD50" s="2760"/>
      <c r="AE50" s="2761"/>
      <c r="AF50" s="2759">
        <v>-8621.2800000000007</v>
      </c>
      <c r="AG50" s="2760"/>
      <c r="AH50" s="2760"/>
      <c r="AI50" s="2761"/>
      <c r="AJ50" s="2798"/>
      <c r="AK50" s="2799"/>
      <c r="AL50" s="2799"/>
      <c r="AM50" s="2800"/>
      <c r="AN50" s="2798"/>
      <c r="AO50" s="2799"/>
      <c r="AP50" s="2799"/>
      <c r="AQ50" s="2800"/>
      <c r="AR50" s="2798"/>
      <c r="AS50" s="2799"/>
      <c r="AT50" s="2799"/>
      <c r="AU50" s="2800"/>
      <c r="AV50" s="2798"/>
      <c r="AW50" s="2799"/>
      <c r="AX50" s="2799"/>
      <c r="AY50" s="2800"/>
      <c r="AZ50" s="2759">
        <v>36647.39</v>
      </c>
      <c r="BA50" s="2760"/>
      <c r="BB50" s="2760"/>
      <c r="BC50" s="2761"/>
      <c r="BD50" s="2798"/>
      <c r="BE50" s="2799"/>
      <c r="BF50" s="2799"/>
      <c r="BG50" s="2800"/>
      <c r="BH50" s="2759">
        <v>426489.21</v>
      </c>
      <c r="BI50" s="2760"/>
      <c r="BJ50" s="2760"/>
      <c r="BK50" s="2761"/>
      <c r="BL50" s="2759">
        <v>296964.55</v>
      </c>
      <c r="BM50" s="2760"/>
      <c r="BN50" s="2760"/>
      <c r="BO50" s="2761"/>
      <c r="BP50" s="2759">
        <v>600795.77</v>
      </c>
      <c r="BQ50" s="2760"/>
      <c r="BR50" s="2760"/>
      <c r="BS50" s="2761"/>
      <c r="BT50" s="2798">
        <v>105684.09</v>
      </c>
      <c r="BU50" s="2799"/>
      <c r="BV50" s="2799"/>
      <c r="BW50" s="2800"/>
      <c r="BX50" s="2759">
        <v>75494.44</v>
      </c>
      <c r="BY50" s="2760"/>
      <c r="BZ50" s="2760"/>
      <c r="CA50" s="2761"/>
      <c r="CB50" s="2762"/>
      <c r="CC50" s="2763"/>
      <c r="CD50" s="2763"/>
      <c r="CE50" s="2764"/>
      <c r="CF50" s="2759">
        <v>-12810.64</v>
      </c>
      <c r="CG50" s="2760"/>
      <c r="CH50" s="2760"/>
      <c r="CI50" s="2761"/>
      <c r="CJ50" s="2759">
        <v>18839.410000000003</v>
      </c>
      <c r="CK50" s="2760"/>
      <c r="CL50" s="2760"/>
      <c r="CM50" s="2761"/>
      <c r="CN50" s="2759">
        <v>24155.87999999999</v>
      </c>
      <c r="CO50" s="2760"/>
      <c r="CP50" s="2760"/>
      <c r="CQ50" s="2761"/>
      <c r="CR50" s="2759">
        <v>21710.52</v>
      </c>
      <c r="CS50" s="2760"/>
      <c r="CT50" s="2760"/>
      <c r="CU50" s="2761"/>
      <c r="CV50" s="2759">
        <v>9926.7799999999988</v>
      </c>
      <c r="CW50" s="2760"/>
      <c r="CX50" s="2760"/>
      <c r="CY50" s="2761"/>
      <c r="CZ50" s="2762"/>
      <c r="DA50" s="2763"/>
      <c r="DB50" s="2763"/>
      <c r="DC50" s="2764"/>
      <c r="DD50" s="2762"/>
      <c r="DE50" s="2763"/>
      <c r="DF50" s="2763"/>
      <c r="DG50" s="2764"/>
      <c r="DH50" s="1319"/>
      <c r="DI50" s="1319"/>
      <c r="DJ50" s="1319"/>
      <c r="DK50" s="1319"/>
      <c r="DL50" s="2759">
        <v>709785.74</v>
      </c>
      <c r="DM50" s="2760"/>
      <c r="DN50" s="2760"/>
      <c r="DO50" s="2761"/>
      <c r="DP50" s="2759">
        <v>450824.57000000007</v>
      </c>
      <c r="DQ50" s="2760"/>
      <c r="DR50" s="2760"/>
      <c r="DS50" s="2761"/>
      <c r="DT50" s="2759">
        <f>'11 - FINANCEIRA'!AA106</f>
        <v>119140.71000000006</v>
      </c>
      <c r="DU50" s="2760"/>
      <c r="DV50" s="2760"/>
      <c r="DW50" s="2761"/>
      <c r="DX50" s="2786">
        <f>$ES50/4</f>
        <v>162930.15250000008</v>
      </c>
      <c r="DY50" s="2787"/>
      <c r="DZ50" s="2787"/>
      <c r="EA50" s="2788"/>
      <c r="EB50" s="2777">
        <f t="shared" ref="EB50" si="473">$ES50/4</f>
        <v>162930.15250000008</v>
      </c>
      <c r="EC50" s="2778"/>
      <c r="ED50" s="2778"/>
      <c r="EE50" s="2779"/>
      <c r="EF50" s="2777">
        <f t="shared" ref="EF50" si="474">$ES50/4</f>
        <v>162930.15250000008</v>
      </c>
      <c r="EG50" s="2778"/>
      <c r="EH50" s="2778"/>
      <c r="EI50" s="2779"/>
      <c r="EJ50" s="2777">
        <f t="shared" ref="EJ50" si="475">$ES50/4</f>
        <v>162930.15250000008</v>
      </c>
      <c r="EK50" s="2778"/>
      <c r="EL50" s="2778"/>
      <c r="EM50" s="2779"/>
      <c r="EN50" s="2825">
        <f>SUM(H50:DW50)</f>
        <v>4050967.5599999996</v>
      </c>
      <c r="EO50" s="2826"/>
      <c r="ER50" s="978">
        <f>SUM(H50:DW50)</f>
        <v>4050967.5599999996</v>
      </c>
      <c r="ES50" s="978">
        <f t="shared" si="68"/>
        <v>651720.61000000034</v>
      </c>
      <c r="ET50" s="978">
        <f>SUM(H50:EM50)</f>
        <v>4702688.169999999</v>
      </c>
      <c r="EU50" t="str">
        <f t="shared" si="69"/>
        <v/>
      </c>
    </row>
    <row r="51" spans="1:151" ht="15" customHeight="1">
      <c r="A51" s="2827">
        <v>14</v>
      </c>
      <c r="B51" s="2830" t="s">
        <v>484</v>
      </c>
      <c r="C51" s="2831"/>
      <c r="D51" s="2832"/>
      <c r="E51" s="979"/>
      <c r="F51" s="2839">
        <f>EQ52</f>
        <v>2727537.57</v>
      </c>
      <c r="G51" s="2846">
        <f t="shared" ref="G51" si="476">F51</f>
        <v>2727537.57</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979"/>
      <c r="AM51" s="979"/>
      <c r="AN51" s="979"/>
      <c r="AO51" s="979"/>
      <c r="AP51" s="979"/>
      <c r="AQ51" s="979"/>
      <c r="AR51" s="979"/>
      <c r="AS51" s="979"/>
      <c r="AT51" s="979"/>
      <c r="AU51" s="979"/>
      <c r="AV51" s="979"/>
      <c r="AW51" s="979"/>
      <c r="AX51" s="979"/>
      <c r="AY51" s="979"/>
      <c r="AZ51" s="979"/>
      <c r="BA51" s="979"/>
      <c r="BB51" s="979"/>
      <c r="BC51" s="979"/>
      <c r="BD51" s="979"/>
      <c r="BE51" s="979"/>
      <c r="BF51" s="979"/>
      <c r="BG51" s="979"/>
      <c r="BH51" s="979"/>
      <c r="BI51" s="979"/>
      <c r="BJ51" s="979"/>
      <c r="BK51" s="979"/>
      <c r="BL51" s="979"/>
      <c r="BM51" s="979"/>
      <c r="BN51" s="979"/>
      <c r="BO51" s="979"/>
      <c r="BP51" s="979"/>
      <c r="BQ51" s="979"/>
      <c r="BR51" s="979"/>
      <c r="BS51" s="979"/>
      <c r="BT51" s="979"/>
      <c r="BU51" s="979"/>
      <c r="BV51" s="979"/>
      <c r="BW51" s="979"/>
      <c r="BX51" s="979"/>
      <c r="BY51" s="979"/>
      <c r="BZ51" s="979"/>
      <c r="CA51" s="979"/>
      <c r="CB51" s="979"/>
      <c r="CC51" s="979"/>
      <c r="CD51" s="979"/>
      <c r="CE51" s="979"/>
      <c r="CF51" s="979"/>
      <c r="CG51" s="979"/>
      <c r="CH51" s="979"/>
      <c r="CI51" s="979"/>
      <c r="CJ51" s="979"/>
      <c r="CK51" s="979"/>
      <c r="CL51" s="979"/>
      <c r="CM51" s="979"/>
      <c r="CN51" s="979"/>
      <c r="CO51" s="979"/>
      <c r="CP51" s="979"/>
      <c r="CQ51" s="979"/>
      <c r="CR51" s="979"/>
      <c r="CS51" s="979"/>
      <c r="CT51" s="979"/>
      <c r="CU51" s="979"/>
      <c r="CV51" s="979"/>
      <c r="CW51" s="979"/>
      <c r="CX51" s="979"/>
      <c r="CY51" s="979"/>
      <c r="CZ51" s="979"/>
      <c r="DA51" s="979"/>
      <c r="DB51" s="979"/>
      <c r="DC51" s="979"/>
      <c r="DD51" s="979"/>
      <c r="DE51" s="979"/>
      <c r="DF51" s="979"/>
      <c r="DG51" s="979"/>
      <c r="DH51" s="979"/>
      <c r="DI51" s="979"/>
      <c r="DJ51" s="979"/>
      <c r="DK51" s="1391"/>
      <c r="DL51" s="979"/>
      <c r="DM51" s="979"/>
      <c r="DN51" s="979"/>
      <c r="DO51" s="979"/>
      <c r="DP51" s="979"/>
      <c r="DQ51" s="979"/>
      <c r="DR51" s="979"/>
      <c r="DS51" s="979"/>
      <c r="DT51" s="979"/>
      <c r="DU51" s="979"/>
      <c r="DV51" s="979"/>
      <c r="DW51" s="979"/>
      <c r="DX51" s="1393"/>
      <c r="DY51" s="1393"/>
      <c r="DZ51" s="1393"/>
      <c r="EA51" s="1393"/>
      <c r="EB51" s="1392"/>
      <c r="EC51" s="1392"/>
      <c r="ED51" s="1392"/>
      <c r="EE51" s="1392"/>
      <c r="EF51" s="1392"/>
      <c r="EG51" s="1392"/>
      <c r="EH51" s="1392"/>
      <c r="EI51" s="1392"/>
      <c r="EJ51" s="1392"/>
      <c r="EK51" s="1392"/>
      <c r="EL51" s="1392"/>
      <c r="EM51" s="1392"/>
      <c r="EN51" s="2825"/>
      <c r="EO51" s="2826"/>
      <c r="ES51" s="978" t="str">
        <f t="shared" si="68"/>
        <v/>
      </c>
      <c r="EU51" t="str">
        <f t="shared" si="69"/>
        <v/>
      </c>
    </row>
    <row r="52" spans="1:151">
      <c r="A52" s="2828"/>
      <c r="B52" s="2833"/>
      <c r="C52" s="2834"/>
      <c r="D52" s="2835"/>
      <c r="E52" s="980" t="s">
        <v>683</v>
      </c>
      <c r="F52" s="2840"/>
      <c r="G52" s="2847"/>
      <c r="H52" s="2753" t="str">
        <f>IF(H53="","",H53/$G51)</f>
        <v/>
      </c>
      <c r="I52" s="2754"/>
      <c r="J52" s="2754"/>
      <c r="K52" s="2755"/>
      <c r="L52" s="2753" t="str">
        <f t="shared" ref="L52" si="477">IF(L53="","",L53/$G51)</f>
        <v/>
      </c>
      <c r="M52" s="2754"/>
      <c r="N52" s="2754"/>
      <c r="O52" s="2755"/>
      <c r="P52" s="2753" t="str">
        <f t="shared" ref="P52" si="478">IF(P53="","",P53/$G51)</f>
        <v/>
      </c>
      <c r="Q52" s="2754"/>
      <c r="R52" s="2754"/>
      <c r="S52" s="2755"/>
      <c r="T52" s="2753" t="str">
        <f t="shared" ref="T52" si="479">IF(T53="","",T53/$G51)</f>
        <v/>
      </c>
      <c r="U52" s="2754"/>
      <c r="V52" s="2754"/>
      <c r="W52" s="2755"/>
      <c r="X52" s="2753" t="str">
        <f t="shared" ref="X52" si="480">IF(X53="","",X53/$G51)</f>
        <v/>
      </c>
      <c r="Y52" s="2754"/>
      <c r="Z52" s="2754"/>
      <c r="AA52" s="2755"/>
      <c r="AB52" s="2753" t="str">
        <f t="shared" ref="AB52" si="481">IF(AB53="","",AB53/$G51)</f>
        <v/>
      </c>
      <c r="AC52" s="2754"/>
      <c r="AD52" s="2754"/>
      <c r="AE52" s="2755"/>
      <c r="AF52" s="2753" t="str">
        <f t="shared" ref="AF52" si="482">IF(AF53="","",AF53/$G51)</f>
        <v/>
      </c>
      <c r="AG52" s="2754"/>
      <c r="AH52" s="2754"/>
      <c r="AI52" s="2755"/>
      <c r="AJ52" s="2753" t="str">
        <f t="shared" ref="AJ52" si="483">IF(AJ53="","",AJ53/$G51)</f>
        <v/>
      </c>
      <c r="AK52" s="2754"/>
      <c r="AL52" s="2754"/>
      <c r="AM52" s="2755"/>
      <c r="AN52" s="2753" t="str">
        <f t="shared" ref="AN52" si="484">IF(AN53="","",AN53/$G51)</f>
        <v/>
      </c>
      <c r="AO52" s="2754"/>
      <c r="AP52" s="2754"/>
      <c r="AQ52" s="2755"/>
      <c r="AR52" s="2753" t="str">
        <f t="shared" ref="AR52" si="485">IF(AR53="","",AR53/$G51)</f>
        <v/>
      </c>
      <c r="AS52" s="2754"/>
      <c r="AT52" s="2754"/>
      <c r="AU52" s="2755"/>
      <c r="AV52" s="2753" t="str">
        <f t="shared" ref="AV52" si="486">IF(AV53="","",AV53/$G51)</f>
        <v/>
      </c>
      <c r="AW52" s="2754"/>
      <c r="AX52" s="2754"/>
      <c r="AY52" s="2755"/>
      <c r="AZ52" s="2753">
        <f t="shared" ref="AZ52" si="487">IF(AZ53="","",AZ53/$G51)</f>
        <v>0.31397454957879833</v>
      </c>
      <c r="BA52" s="2754"/>
      <c r="BB52" s="2754"/>
      <c r="BC52" s="2755"/>
      <c r="BD52" s="2753">
        <f t="shared" ref="BD52" si="488">IF(BD53="","",BD53/$G51)</f>
        <v>5.5901737771480088E-2</v>
      </c>
      <c r="BE52" s="2754"/>
      <c r="BF52" s="2754"/>
      <c r="BG52" s="2755"/>
      <c r="BH52" s="2753">
        <f t="shared" ref="BH52" si="489">IF(BH53="","",BH53/$G51)</f>
        <v>6.5415003614414019E-2</v>
      </c>
      <c r="BI52" s="2754"/>
      <c r="BJ52" s="2754"/>
      <c r="BK52" s="2755"/>
      <c r="BL52" s="2753">
        <f t="shared" ref="BL52" si="490">IF(BL53="","",BL53/$G51)</f>
        <v>4.9787941142823568E-2</v>
      </c>
      <c r="BM52" s="2754"/>
      <c r="BN52" s="2754"/>
      <c r="BO52" s="2755"/>
      <c r="BP52" s="2753">
        <f t="shared" ref="BP52" si="491">IF(BP53="","",BP53/$G51)</f>
        <v>5.3407997602760798E-2</v>
      </c>
      <c r="BQ52" s="2754"/>
      <c r="BR52" s="2754"/>
      <c r="BS52" s="2755"/>
      <c r="BT52" s="2753">
        <f t="shared" ref="BT52" si="492">IF(BT53="","",BT53/$G51)</f>
        <v>3.0038174689560739E-2</v>
      </c>
      <c r="BU52" s="2754"/>
      <c r="BV52" s="2754"/>
      <c r="BW52" s="2755"/>
      <c r="BX52" s="2753">
        <f t="shared" ref="BX52" si="493">IF(BX53="","",BX53/$G51)</f>
        <v>3.2056665675919541E-2</v>
      </c>
      <c r="BY52" s="2754"/>
      <c r="BZ52" s="2754"/>
      <c r="CA52" s="2755"/>
      <c r="CB52" s="2753">
        <f t="shared" ref="CB52" si="494">IF(CB53="","",CB53/$G51)</f>
        <v>2.9206241144462027E-2</v>
      </c>
      <c r="CC52" s="2754"/>
      <c r="CD52" s="2754"/>
      <c r="CE52" s="2755"/>
      <c r="CF52" s="2753">
        <f t="shared" ref="CF52" si="495">IF(CF53="","",CF53/$G51)</f>
        <v>9.6435701892091628E-3</v>
      </c>
      <c r="CG52" s="2754"/>
      <c r="CH52" s="2754"/>
      <c r="CI52" s="2755"/>
      <c r="CJ52" s="2753">
        <f t="shared" ref="CJ52" si="496">IF(CJ53="","",CJ53/$G51)</f>
        <v>2.7943783740438075E-2</v>
      </c>
      <c r="CK52" s="2754"/>
      <c r="CL52" s="2754"/>
      <c r="CM52" s="2755"/>
      <c r="CN52" s="2768">
        <f t="shared" ref="CN52" si="497">IF(CN53="","",CN53/$G51)</f>
        <v>0.12055609558478048</v>
      </c>
      <c r="CO52" s="2769"/>
      <c r="CP52" s="2769"/>
      <c r="CQ52" s="2770"/>
      <c r="CR52" s="2765">
        <f t="shared" ref="CR52" si="498">IF(CR53="","",CR53/$G51)</f>
        <v>0.10103079502299138</v>
      </c>
      <c r="CS52" s="2766"/>
      <c r="CT52" s="2766"/>
      <c r="CU52" s="2767"/>
      <c r="CV52" s="2771">
        <f t="shared" ref="CV52" si="499">IF(CV53="","",CV53/$G51)</f>
        <v>1.0660450788950993E-2</v>
      </c>
      <c r="CW52" s="2772"/>
      <c r="CX52" s="2772"/>
      <c r="CY52" s="2773"/>
      <c r="CZ52" s="2753" t="str">
        <f t="shared" ref="CZ52" si="500">IF(CZ53="","",CZ53/$G51)</f>
        <v/>
      </c>
      <c r="DA52" s="2754"/>
      <c r="DB52" s="2754"/>
      <c r="DC52" s="2755"/>
      <c r="DD52" s="2753" t="str">
        <f t="shared" ref="DD52" si="501">IF(DD53="","",DD53/$G51)</f>
        <v/>
      </c>
      <c r="DE52" s="2754"/>
      <c r="DF52" s="2754"/>
      <c r="DG52" s="2755"/>
      <c r="DH52" s="1320" t="str">
        <f t="shared" ref="DH52" si="502">IF(DH53="","",DH53/$G51)</f>
        <v/>
      </c>
      <c r="DI52" s="1320"/>
      <c r="DJ52" s="1320"/>
      <c r="DK52" s="1320"/>
      <c r="DL52" s="2768">
        <f t="shared" ref="DL52" si="503">IF(DL53="","",DL53/$G51)</f>
        <v>-8.507094184871912E-2</v>
      </c>
      <c r="DM52" s="2769"/>
      <c r="DN52" s="2769"/>
      <c r="DO52" s="2770"/>
      <c r="DP52" s="2768">
        <f t="shared" ref="DP52" si="504">IF(DP53="","",DP53/$G51)</f>
        <v>4.106161566749747E-2</v>
      </c>
      <c r="DQ52" s="2769"/>
      <c r="DR52" s="2769"/>
      <c r="DS52" s="2770"/>
      <c r="DT52" s="2768">
        <f t="shared" ref="DT52" si="505">IF(DT53="","",DT53/$G51)</f>
        <v>2.358240754828542E-2</v>
      </c>
      <c r="DU52" s="2769"/>
      <c r="DV52" s="2769"/>
      <c r="DW52" s="2770"/>
      <c r="DX52" s="2783">
        <f t="shared" ref="DX52" si="506">IF(DX53="","",DX53/$G51)</f>
        <v>3.0200978021586729E-2</v>
      </c>
      <c r="DY52" s="2784"/>
      <c r="DZ52" s="2784"/>
      <c r="EA52" s="2785"/>
      <c r="EB52" s="2774">
        <f t="shared" ref="EB52" si="507">IF(EB53="","",EB53/$G51)</f>
        <v>3.0200978021586729E-2</v>
      </c>
      <c r="EC52" s="2775"/>
      <c r="ED52" s="2775"/>
      <c r="EE52" s="2776"/>
      <c r="EF52" s="2774">
        <f t="shared" ref="EF52" si="508">IF(EF53="","",EF53/$G51)</f>
        <v>3.0200978021586729E-2</v>
      </c>
      <c r="EG52" s="2775"/>
      <c r="EH52" s="2775"/>
      <c r="EI52" s="2776"/>
      <c r="EJ52" s="2774">
        <f t="shared" ref="EJ52" si="509">IF(EJ53="","",EJ53/$G51)</f>
        <v>3.0200978021586729E-2</v>
      </c>
      <c r="EK52" s="2775"/>
      <c r="EL52" s="2775"/>
      <c r="EM52" s="2776"/>
      <c r="EN52" s="2842">
        <f>EN53/F51</f>
        <v>0.87919608791365311</v>
      </c>
      <c r="EO52" s="2826"/>
      <c r="EQ52">
        <v>2727537.57</v>
      </c>
      <c r="ES52" s="978" t="str">
        <f t="shared" si="68"/>
        <v/>
      </c>
      <c r="EU52" t="str">
        <f t="shared" si="69"/>
        <v/>
      </c>
    </row>
    <row r="53" spans="1:151">
      <c r="A53" s="2829"/>
      <c r="B53" s="2836"/>
      <c r="C53" s="2837"/>
      <c r="D53" s="2838"/>
      <c r="E53" s="979" t="s">
        <v>684</v>
      </c>
      <c r="F53" s="2841"/>
      <c r="G53" s="2848"/>
      <c r="H53" s="2843"/>
      <c r="I53" s="2844"/>
      <c r="J53" s="2844"/>
      <c r="K53" s="2845"/>
      <c r="L53" s="2798"/>
      <c r="M53" s="2799"/>
      <c r="N53" s="2799"/>
      <c r="O53" s="2800"/>
      <c r="P53" s="2798"/>
      <c r="Q53" s="2799"/>
      <c r="R53" s="2799"/>
      <c r="S53" s="2800"/>
      <c r="T53" s="2798"/>
      <c r="U53" s="2799"/>
      <c r="V53" s="2799"/>
      <c r="W53" s="2800"/>
      <c r="X53" s="2798"/>
      <c r="Y53" s="2799"/>
      <c r="Z53" s="2799"/>
      <c r="AA53" s="2800"/>
      <c r="AB53" s="2798"/>
      <c r="AC53" s="2799"/>
      <c r="AD53" s="2799"/>
      <c r="AE53" s="2800"/>
      <c r="AF53" s="2798"/>
      <c r="AG53" s="2799"/>
      <c r="AH53" s="2799"/>
      <c r="AI53" s="2800"/>
      <c r="AJ53" s="2798"/>
      <c r="AK53" s="2799"/>
      <c r="AL53" s="2799"/>
      <c r="AM53" s="2800"/>
      <c r="AN53" s="2798"/>
      <c r="AO53" s="2799"/>
      <c r="AP53" s="2799"/>
      <c r="AQ53" s="2800"/>
      <c r="AR53" s="2798"/>
      <c r="AS53" s="2799"/>
      <c r="AT53" s="2799"/>
      <c r="AU53" s="2800"/>
      <c r="AV53" s="2798"/>
      <c r="AW53" s="2799"/>
      <c r="AX53" s="2799"/>
      <c r="AY53" s="2800"/>
      <c r="AZ53" s="2759">
        <v>856377.38</v>
      </c>
      <c r="BA53" s="2760"/>
      <c r="BB53" s="2760"/>
      <c r="BC53" s="2761"/>
      <c r="BD53" s="2759">
        <v>152474.09</v>
      </c>
      <c r="BE53" s="2760"/>
      <c r="BF53" s="2760"/>
      <c r="BG53" s="2761"/>
      <c r="BH53" s="2759">
        <v>178421.88</v>
      </c>
      <c r="BI53" s="2760"/>
      <c r="BJ53" s="2760"/>
      <c r="BK53" s="2761"/>
      <c r="BL53" s="2759">
        <v>135798.48000000001</v>
      </c>
      <c r="BM53" s="2760"/>
      <c r="BN53" s="2760"/>
      <c r="BO53" s="2761"/>
      <c r="BP53" s="2759">
        <v>145672.32000000001</v>
      </c>
      <c r="BQ53" s="2760"/>
      <c r="BR53" s="2760"/>
      <c r="BS53" s="2761"/>
      <c r="BT53" s="2759">
        <v>81930.25</v>
      </c>
      <c r="BU53" s="2760"/>
      <c r="BV53" s="2760"/>
      <c r="BW53" s="2761"/>
      <c r="BX53" s="2759">
        <v>87435.76</v>
      </c>
      <c r="BY53" s="2760"/>
      <c r="BZ53" s="2760"/>
      <c r="CA53" s="2761"/>
      <c r="CB53" s="2759">
        <f>'[43]11 - FINANCEIRA'!O144</f>
        <v>79661.119999999966</v>
      </c>
      <c r="CC53" s="2760"/>
      <c r="CD53" s="2760"/>
      <c r="CE53" s="2761"/>
      <c r="CF53" s="2759">
        <v>26303.200000000001</v>
      </c>
      <c r="CG53" s="2760"/>
      <c r="CH53" s="2760"/>
      <c r="CI53" s="2761"/>
      <c r="CJ53" s="2759">
        <v>76217.719999999972</v>
      </c>
      <c r="CK53" s="2760"/>
      <c r="CL53" s="2760"/>
      <c r="CM53" s="2761"/>
      <c r="CN53" s="2759">
        <v>328821.27999999985</v>
      </c>
      <c r="CO53" s="2760"/>
      <c r="CP53" s="2760"/>
      <c r="CQ53" s="2761"/>
      <c r="CR53" s="2759">
        <v>275565.28915217798</v>
      </c>
      <c r="CS53" s="2760"/>
      <c r="CT53" s="2760"/>
      <c r="CU53" s="2761"/>
      <c r="CV53" s="2759">
        <v>29076.780039999972</v>
      </c>
      <c r="CW53" s="2760"/>
      <c r="CX53" s="2760"/>
      <c r="CY53" s="2761"/>
      <c r="CZ53" s="2759"/>
      <c r="DA53" s="2760"/>
      <c r="DB53" s="2760"/>
      <c r="DC53" s="2761"/>
      <c r="DD53" s="2759"/>
      <c r="DE53" s="2760"/>
      <c r="DF53" s="2760"/>
      <c r="DG53" s="2761"/>
      <c r="DH53" s="1317"/>
      <c r="DI53" s="1317"/>
      <c r="DJ53" s="1317"/>
      <c r="DK53" s="1317"/>
      <c r="DL53" s="2759">
        <v>-232034.19000766665</v>
      </c>
      <c r="DM53" s="2760"/>
      <c r="DN53" s="2760"/>
      <c r="DO53" s="2761"/>
      <c r="DP53" s="2759">
        <v>111997.09941799997</v>
      </c>
      <c r="DQ53" s="2760"/>
      <c r="DR53" s="2760"/>
      <c r="DS53" s="2761"/>
      <c r="DT53" s="2759">
        <f>'11 - FINANCEIRA'!AA156</f>
        <v>64321.902579000067</v>
      </c>
      <c r="DU53" s="2760"/>
      <c r="DV53" s="2760"/>
      <c r="DW53" s="2761"/>
      <c r="DX53" s="2786">
        <f>$ES53/4</f>
        <v>82374.302204622072</v>
      </c>
      <c r="DY53" s="2787"/>
      <c r="DZ53" s="2787"/>
      <c r="EA53" s="2788"/>
      <c r="EB53" s="2777">
        <f t="shared" ref="EB53" si="510">$ES53/4</f>
        <v>82374.302204622072</v>
      </c>
      <c r="EC53" s="2778"/>
      <c r="ED53" s="2778"/>
      <c r="EE53" s="2779"/>
      <c r="EF53" s="2777">
        <f t="shared" ref="EF53" si="511">$ES53/4</f>
        <v>82374.302204622072</v>
      </c>
      <c r="EG53" s="2778"/>
      <c r="EH53" s="2778"/>
      <c r="EI53" s="2779"/>
      <c r="EJ53" s="2777">
        <f t="shared" ref="EJ53" si="512">$ES53/4</f>
        <v>82374.302204622072</v>
      </c>
      <c r="EK53" s="2778"/>
      <c r="EL53" s="2778"/>
      <c r="EM53" s="2779"/>
      <c r="EN53" s="2825">
        <f>SUM(H53:DW53)</f>
        <v>2398040.3611815115</v>
      </c>
      <c r="EO53" s="2826"/>
      <c r="ER53" s="978">
        <f>SUM(H53:DW53)</f>
        <v>2398040.3611815115</v>
      </c>
      <c r="ES53" s="978">
        <f t="shared" si="68"/>
        <v>329497.20881848829</v>
      </c>
      <c r="ET53" s="978">
        <f>SUM(H53:EM53)</f>
        <v>2727537.5699999994</v>
      </c>
      <c r="EU53" t="str">
        <f t="shared" si="69"/>
        <v/>
      </c>
    </row>
    <row r="54" spans="1:151">
      <c r="A54" s="2816" t="s">
        <v>695</v>
      </c>
      <c r="B54" s="2817"/>
      <c r="C54" s="2817"/>
      <c r="D54" s="2817"/>
      <c r="E54" s="2818"/>
      <c r="F54" s="2819">
        <f>SUM(F12:F53)</f>
        <v>16931693.510000002</v>
      </c>
      <c r="G54" s="2907">
        <f>SUM(G12:G53)</f>
        <v>16931693.510000002</v>
      </c>
      <c r="H54" s="2780">
        <f t="shared" ref="H54:BP54" si="513">((H56*100)/$G$54)/100</f>
        <v>4.0817854374213744E-3</v>
      </c>
      <c r="I54" s="2781"/>
      <c r="J54" s="2781"/>
      <c r="K54" s="2782"/>
      <c r="L54" s="2780">
        <f t="shared" si="513"/>
        <v>1.6707902244564074E-2</v>
      </c>
      <c r="M54" s="2781"/>
      <c r="N54" s="2781"/>
      <c r="O54" s="2782"/>
      <c r="P54" s="2780">
        <f t="shared" si="513"/>
        <v>1.9415737699589389E-2</v>
      </c>
      <c r="Q54" s="2781"/>
      <c r="R54" s="2781"/>
      <c r="S54" s="2782"/>
      <c r="T54" s="2780">
        <f t="shared" si="513"/>
        <v>1.4176418906840937E-2</v>
      </c>
      <c r="U54" s="2781"/>
      <c r="V54" s="2781"/>
      <c r="W54" s="2782"/>
      <c r="X54" s="2780">
        <f t="shared" si="513"/>
        <v>1.4442317294225578E-2</v>
      </c>
      <c r="Y54" s="2781"/>
      <c r="Z54" s="2781"/>
      <c r="AA54" s="2782"/>
      <c r="AB54" s="2780">
        <f t="shared" si="513"/>
        <v>2.1835623812918876E-2</v>
      </c>
      <c r="AC54" s="2781"/>
      <c r="AD54" s="2781"/>
      <c r="AE54" s="2782"/>
      <c r="AF54" s="2780">
        <f t="shared" si="513"/>
        <v>2.1758221041647E-2</v>
      </c>
      <c r="AG54" s="2781"/>
      <c r="AH54" s="2781"/>
      <c r="AI54" s="2782"/>
      <c r="AJ54" s="2780">
        <f t="shared" si="513"/>
        <v>4.3443708661839588E-2</v>
      </c>
      <c r="AK54" s="2781"/>
      <c r="AL54" s="2781"/>
      <c r="AM54" s="2782"/>
      <c r="AN54" s="2780">
        <f t="shared" si="513"/>
        <v>2.1163810919939099E-2</v>
      </c>
      <c r="AO54" s="2781"/>
      <c r="AP54" s="2781"/>
      <c r="AQ54" s="2782"/>
      <c r="AR54" s="2780">
        <f t="shared" si="513"/>
        <v>2.5922109902401604E-2</v>
      </c>
      <c r="AS54" s="2781"/>
      <c r="AT54" s="2781"/>
      <c r="AU54" s="2782"/>
      <c r="AV54" s="2780">
        <f t="shared" si="513"/>
        <v>7.2384897545904135E-3</v>
      </c>
      <c r="AW54" s="2781"/>
      <c r="AX54" s="2781"/>
      <c r="AY54" s="2782"/>
      <c r="AZ54" s="2780">
        <f t="shared" si="513"/>
        <v>5.8796554485942849E-2</v>
      </c>
      <c r="BA54" s="2781"/>
      <c r="BB54" s="2781"/>
      <c r="BC54" s="2782"/>
      <c r="BD54" s="2780">
        <f t="shared" si="513"/>
        <v>3.2135971495033284E-2</v>
      </c>
      <c r="BE54" s="2781"/>
      <c r="BF54" s="2781"/>
      <c r="BG54" s="2782"/>
      <c r="BH54" s="2780">
        <f t="shared" si="513"/>
        <v>4.4224776426395399E-2</v>
      </c>
      <c r="BI54" s="2781"/>
      <c r="BJ54" s="2781"/>
      <c r="BK54" s="2782"/>
      <c r="BL54" s="2780">
        <f t="shared" si="513"/>
        <v>2.7640544032030492E-2</v>
      </c>
      <c r="BM54" s="2781"/>
      <c r="BN54" s="2781"/>
      <c r="BO54" s="2782"/>
      <c r="BP54" s="2780">
        <f t="shared" si="513"/>
        <v>5.2548288774216065E-2</v>
      </c>
      <c r="BQ54" s="2781"/>
      <c r="BR54" s="2781"/>
      <c r="BS54" s="2782"/>
      <c r="BT54" s="2780">
        <f t="shared" ref="BT54:EF54" si="514">((BT56*100)/$G$54)/100</f>
        <v>1.1330596073375297E-2</v>
      </c>
      <c r="BU54" s="2781"/>
      <c r="BV54" s="2781"/>
      <c r="BW54" s="2782"/>
      <c r="BX54" s="2780">
        <f t="shared" si="514"/>
        <v>2.1443057647220543E-2</v>
      </c>
      <c r="BY54" s="2781"/>
      <c r="BZ54" s="2781"/>
      <c r="CA54" s="2782"/>
      <c r="CB54" s="2780">
        <f t="shared" si="514"/>
        <v>1.5073958777322564E-2</v>
      </c>
      <c r="CC54" s="2781"/>
      <c r="CD54" s="2781"/>
      <c r="CE54" s="2782"/>
      <c r="CF54" s="2780">
        <f t="shared" si="514"/>
        <v>2.4557024951723211E-2</v>
      </c>
      <c r="CG54" s="2781"/>
      <c r="CH54" s="2781"/>
      <c r="CI54" s="2782"/>
      <c r="CJ54" s="2780">
        <f t="shared" si="514"/>
        <v>2.214945479484999E-2</v>
      </c>
      <c r="CK54" s="2781"/>
      <c r="CL54" s="2781"/>
      <c r="CM54" s="2782"/>
      <c r="CN54" s="2780">
        <f t="shared" si="514"/>
        <v>3.942678678926783E-2</v>
      </c>
      <c r="CO54" s="2781"/>
      <c r="CP54" s="2781"/>
      <c r="CQ54" s="2782"/>
      <c r="CR54" s="2780">
        <f t="shared" si="514"/>
        <v>2.9871135386041955E-2</v>
      </c>
      <c r="CS54" s="2781"/>
      <c r="CT54" s="2781"/>
      <c r="CU54" s="2782"/>
      <c r="CV54" s="2780">
        <f t="shared" si="514"/>
        <v>7.1753838426289792E-3</v>
      </c>
      <c r="CW54" s="2781"/>
      <c r="CX54" s="2781"/>
      <c r="CY54" s="2782"/>
      <c r="CZ54" s="2780">
        <f t="shared" si="514"/>
        <v>1.7296852191839608E-4</v>
      </c>
      <c r="DA54" s="2781"/>
      <c r="DB54" s="2781"/>
      <c r="DC54" s="2782"/>
      <c r="DD54" s="2780">
        <f t="shared" si="514"/>
        <v>1.7296852191839608E-4</v>
      </c>
      <c r="DE54" s="2781"/>
      <c r="DF54" s="2781"/>
      <c r="DG54" s="2782"/>
      <c r="DH54" s="2780">
        <f t="shared" si="514"/>
        <v>1.7296852191839608E-4</v>
      </c>
      <c r="DI54" s="2781"/>
      <c r="DJ54" s="2781"/>
      <c r="DK54" s="2782"/>
      <c r="DL54" s="2780">
        <f t="shared" si="514"/>
        <v>3.7497412743584042E-2</v>
      </c>
      <c r="DM54" s="2781"/>
      <c r="DN54" s="2781"/>
      <c r="DO54" s="2782"/>
      <c r="DP54" s="2780">
        <f t="shared" ref="DP54" si="515">((DP56*100)/$G$54)/100</f>
        <v>4.715017779801519E-2</v>
      </c>
      <c r="DQ54" s="2781"/>
      <c r="DR54" s="2781"/>
      <c r="DS54" s="2782"/>
      <c r="DT54" s="2780">
        <f t="shared" si="514"/>
        <v>4.1337797200594391E-2</v>
      </c>
      <c r="DU54" s="2781"/>
      <c r="DV54" s="2781"/>
      <c r="DW54" s="2782"/>
      <c r="DX54" s="2780">
        <f t="shared" si="514"/>
        <v>6.9220373704049015E-2</v>
      </c>
      <c r="DY54" s="2781"/>
      <c r="DZ54" s="2781"/>
      <c r="EA54" s="2782"/>
      <c r="EB54" s="2780">
        <f t="shared" si="514"/>
        <v>6.9220373704049015E-2</v>
      </c>
      <c r="EC54" s="2781"/>
      <c r="ED54" s="2781"/>
      <c r="EE54" s="2782"/>
      <c r="EF54" s="2780">
        <f t="shared" si="514"/>
        <v>6.9220373704049015E-2</v>
      </c>
      <c r="EG54" s="2781"/>
      <c r="EH54" s="2781"/>
      <c r="EI54" s="2782"/>
      <c r="EJ54" s="2780">
        <f t="shared" ref="EJ54" si="516">((EJ56*100)/$G$54)/100</f>
        <v>6.9274926427877553E-2</v>
      </c>
      <c r="EK54" s="2781"/>
      <c r="EL54" s="2781"/>
      <c r="EM54" s="2782"/>
      <c r="EN54" s="2780">
        <f>SUM(H54:AU54)</f>
        <v>0.20294763592138751</v>
      </c>
      <c r="EO54" s="2815"/>
    </row>
    <row r="55" spans="1:151">
      <c r="A55" s="2816" t="s">
        <v>696</v>
      </c>
      <c r="B55" s="2817"/>
      <c r="C55" s="2817"/>
      <c r="D55" s="2817"/>
      <c r="E55" s="2818"/>
      <c r="F55" s="2820"/>
      <c r="G55" s="2908"/>
      <c r="H55" s="2792">
        <f>H54</f>
        <v>4.0817854374213744E-3</v>
      </c>
      <c r="I55" s="2793"/>
      <c r="J55" s="2793"/>
      <c r="K55" s="2794"/>
      <c r="L55" s="2792">
        <f>H55+L54</f>
        <v>2.0789687681985448E-2</v>
      </c>
      <c r="M55" s="2793"/>
      <c r="N55" s="2793"/>
      <c r="O55" s="2794"/>
      <c r="P55" s="2792">
        <f t="shared" ref="P55" si="517">L55+P54</f>
        <v>4.0205425381574837E-2</v>
      </c>
      <c r="Q55" s="2793"/>
      <c r="R55" s="2793"/>
      <c r="S55" s="2794"/>
      <c r="T55" s="2792">
        <f t="shared" ref="T55" si="518">P55+T54</f>
        <v>5.4381844288415776E-2</v>
      </c>
      <c r="U55" s="2793"/>
      <c r="V55" s="2793"/>
      <c r="W55" s="2794"/>
      <c r="X55" s="2792">
        <f t="shared" ref="X55" si="519">T55+X54</f>
        <v>6.8824161582641347E-2</v>
      </c>
      <c r="Y55" s="2793"/>
      <c r="Z55" s="2793"/>
      <c r="AA55" s="2794"/>
      <c r="AB55" s="2792">
        <f t="shared" ref="AB55" si="520">X55+AB54</f>
        <v>9.0659785395560216E-2</v>
      </c>
      <c r="AC55" s="2793"/>
      <c r="AD55" s="2793"/>
      <c r="AE55" s="2794"/>
      <c r="AF55" s="2792">
        <f t="shared" ref="AF55" si="521">AB55+AF54</f>
        <v>0.11241800643720722</v>
      </c>
      <c r="AG55" s="2793"/>
      <c r="AH55" s="2793"/>
      <c r="AI55" s="2794"/>
      <c r="AJ55" s="2792">
        <f t="shared" ref="AJ55" si="522">AF55+AJ54</f>
        <v>0.15586171509904681</v>
      </c>
      <c r="AK55" s="2793"/>
      <c r="AL55" s="2793"/>
      <c r="AM55" s="2794"/>
      <c r="AN55" s="2792">
        <f t="shared" ref="AN55" si="523">AJ55+AN54</f>
        <v>0.17702552601898591</v>
      </c>
      <c r="AO55" s="2793"/>
      <c r="AP55" s="2793"/>
      <c r="AQ55" s="2794"/>
      <c r="AR55" s="2792">
        <f t="shared" ref="AR55" si="524">AN55+AR54</f>
        <v>0.20294763592138751</v>
      </c>
      <c r="AS55" s="2793"/>
      <c r="AT55" s="2793"/>
      <c r="AU55" s="2794"/>
      <c r="AV55" s="2792">
        <f t="shared" ref="AV55" si="525">AR55+AV54</f>
        <v>0.21018612567597791</v>
      </c>
      <c r="AW55" s="2793"/>
      <c r="AX55" s="2793"/>
      <c r="AY55" s="2794"/>
      <c r="AZ55" s="2792">
        <f t="shared" ref="AZ55" si="526">AV55+AZ54</f>
        <v>0.26898268016192078</v>
      </c>
      <c r="BA55" s="2793"/>
      <c r="BB55" s="2793"/>
      <c r="BC55" s="2794"/>
      <c r="BD55" s="2792">
        <f t="shared" ref="BD55" si="527">AZ55+BD54</f>
        <v>0.30111865165695406</v>
      </c>
      <c r="BE55" s="2793"/>
      <c r="BF55" s="2793"/>
      <c r="BG55" s="2794"/>
      <c r="BH55" s="2792">
        <f t="shared" ref="BH55" si="528">BD55+BH54</f>
        <v>0.34534342808334945</v>
      </c>
      <c r="BI55" s="2793"/>
      <c r="BJ55" s="2793"/>
      <c r="BK55" s="2794"/>
      <c r="BL55" s="2792">
        <f t="shared" ref="BL55" si="529">BH55+BL54</f>
        <v>0.37298397211537992</v>
      </c>
      <c r="BM55" s="2793"/>
      <c r="BN55" s="2793"/>
      <c r="BO55" s="2794"/>
      <c r="BP55" s="2792">
        <f t="shared" ref="BP55" si="530">BL55+BP54</f>
        <v>0.425532260889596</v>
      </c>
      <c r="BQ55" s="2793"/>
      <c r="BR55" s="2793"/>
      <c r="BS55" s="2794"/>
      <c r="BT55" s="2792">
        <f t="shared" ref="BT55" si="531">BP55+BT54</f>
        <v>0.43686285696297128</v>
      </c>
      <c r="BU55" s="2793"/>
      <c r="BV55" s="2793"/>
      <c r="BW55" s="2794"/>
      <c r="BX55" s="2792">
        <f t="shared" ref="BX55" si="532">BT55+BX54</f>
        <v>0.45830591461019182</v>
      </c>
      <c r="BY55" s="2793"/>
      <c r="BZ55" s="2793"/>
      <c r="CA55" s="2794"/>
      <c r="CB55" s="2792">
        <f t="shared" ref="CB55" si="533">BX55+CB54</f>
        <v>0.47337987338751436</v>
      </c>
      <c r="CC55" s="2793"/>
      <c r="CD55" s="2793"/>
      <c r="CE55" s="2794"/>
      <c r="CF55" s="2792">
        <f t="shared" ref="CF55" si="534">CB55+CF54</f>
        <v>0.4979368983392376</v>
      </c>
      <c r="CG55" s="2793"/>
      <c r="CH55" s="2793"/>
      <c r="CI55" s="2794"/>
      <c r="CJ55" s="2792">
        <f t="shared" ref="CJ55" si="535">CF55+CJ54</f>
        <v>0.52008635313408758</v>
      </c>
      <c r="CK55" s="2793"/>
      <c r="CL55" s="2793"/>
      <c r="CM55" s="2794"/>
      <c r="CN55" s="2792">
        <f t="shared" ref="CN55" si="536">CJ55+CN54</f>
        <v>0.55951313992335538</v>
      </c>
      <c r="CO55" s="2793"/>
      <c r="CP55" s="2793"/>
      <c r="CQ55" s="2794"/>
      <c r="CR55" s="2792">
        <f t="shared" ref="CR55" si="537">CN55+CR54</f>
        <v>0.5893842753093973</v>
      </c>
      <c r="CS55" s="2793"/>
      <c r="CT55" s="2793"/>
      <c r="CU55" s="2794"/>
      <c r="CV55" s="2792">
        <f t="shared" ref="CV55" si="538">CR55+CV54</f>
        <v>0.59655965915202624</v>
      </c>
      <c r="CW55" s="2793"/>
      <c r="CX55" s="2793"/>
      <c r="CY55" s="2794"/>
      <c r="CZ55" s="2792">
        <f t="shared" ref="CZ55" si="539">CV55+CZ54</f>
        <v>0.59673262767394464</v>
      </c>
      <c r="DA55" s="2793"/>
      <c r="DB55" s="2793"/>
      <c r="DC55" s="2794"/>
      <c r="DD55" s="2792">
        <f t="shared" ref="DD55" si="540">CZ55+DD54</f>
        <v>0.59690559619586303</v>
      </c>
      <c r="DE55" s="2793"/>
      <c r="DF55" s="2793"/>
      <c r="DG55" s="2794"/>
      <c r="DH55" s="2792">
        <f t="shared" ref="DH55" si="541">DD55+DH54</f>
        <v>0.59707856471778142</v>
      </c>
      <c r="DI55" s="2793"/>
      <c r="DJ55" s="2793"/>
      <c r="DK55" s="2794"/>
      <c r="DL55" s="2792">
        <f t="shared" ref="DL55" si="542">DH55+DL54</f>
        <v>0.63457597746136551</v>
      </c>
      <c r="DM55" s="2793"/>
      <c r="DN55" s="2793"/>
      <c r="DO55" s="2794"/>
      <c r="DP55" s="2792">
        <f t="shared" ref="DP55" si="543">DL55+DP54</f>
        <v>0.68172615525938074</v>
      </c>
      <c r="DQ55" s="2793"/>
      <c r="DR55" s="2793"/>
      <c r="DS55" s="2794"/>
      <c r="DT55" s="2792">
        <f t="shared" ref="DT55" si="544">DL55+DT54</f>
        <v>0.6759137746619599</v>
      </c>
      <c r="DU55" s="2793"/>
      <c r="DV55" s="2793"/>
      <c r="DW55" s="2794"/>
      <c r="DX55" s="2792">
        <f t="shared" ref="DX55" si="545">DT55+DX54</f>
        <v>0.74513414836600889</v>
      </c>
      <c r="DY55" s="2793"/>
      <c r="DZ55" s="2793"/>
      <c r="EA55" s="2794"/>
      <c r="EB55" s="2792">
        <f t="shared" ref="EB55" si="546">DX55+EB54</f>
        <v>0.81435452207005787</v>
      </c>
      <c r="EC55" s="2793"/>
      <c r="ED55" s="2793"/>
      <c r="EE55" s="2794"/>
      <c r="EF55" s="2792">
        <f t="shared" ref="EF55" si="547">EB55+EF54</f>
        <v>0.88357489577410686</v>
      </c>
      <c r="EG55" s="2793"/>
      <c r="EH55" s="2793"/>
      <c r="EI55" s="2794"/>
      <c r="EJ55" s="2792">
        <f t="shared" ref="EJ55" si="548">EF55+EJ54</f>
        <v>0.95284982220198444</v>
      </c>
      <c r="EK55" s="2793"/>
      <c r="EL55" s="2793"/>
      <c r="EM55" s="2794"/>
      <c r="EN55" s="2792">
        <f>AR55</f>
        <v>0.20294763592138751</v>
      </c>
      <c r="EO55" s="2812"/>
    </row>
    <row r="56" spans="1:151">
      <c r="A56" s="2816" t="s">
        <v>697</v>
      </c>
      <c r="B56" s="2817"/>
      <c r="C56" s="2817"/>
      <c r="D56" s="2817"/>
      <c r="E56" s="2818"/>
      <c r="F56" s="2820"/>
      <c r="G56" s="2908"/>
      <c r="H56" s="2795">
        <f>H14+H17+H23+H26+H29+H35+H38+H41+H44+H47+H50+H20+H53+H32</f>
        <v>69111.540000000008</v>
      </c>
      <c r="I56" s="2796"/>
      <c r="J56" s="2796"/>
      <c r="K56" s="2797"/>
      <c r="L56" s="2795">
        <f t="shared" ref="L56" si="549">L14+L17+L23+L26+L29+L35+L38+L41+L44+L47+L50+L20+L53+L32</f>
        <v>282893.07999999996</v>
      </c>
      <c r="M56" s="2796"/>
      <c r="N56" s="2796"/>
      <c r="O56" s="2797"/>
      <c r="P56" s="2795">
        <f t="shared" ref="P56" si="550">P14+P17+P23+P26+P29+P35+P38+P41+P44+P47+P50+P20+P53+P32</f>
        <v>328741.32</v>
      </c>
      <c r="Q56" s="2796"/>
      <c r="R56" s="2796"/>
      <c r="S56" s="2797"/>
      <c r="T56" s="2795">
        <f t="shared" ref="T56" si="551">T14+T17+T23+T26+T29+T35+T38+T41+T44+T47+T50+T20+T53+T32</f>
        <v>240030.78</v>
      </c>
      <c r="U56" s="2796"/>
      <c r="V56" s="2796"/>
      <c r="W56" s="2797"/>
      <c r="X56" s="2795">
        <f t="shared" ref="X56" si="552">X14+X17+X23+X26+X29+X35+X38+X41+X44+X47+X50+X20+X53+X32</f>
        <v>244532.88999999998</v>
      </c>
      <c r="Y56" s="2796"/>
      <c r="Z56" s="2796"/>
      <c r="AA56" s="2797"/>
      <c r="AB56" s="2795">
        <f t="shared" ref="AB56" si="553">AB14+AB17+AB23+AB26+AB29+AB35+AB38+AB41+AB44+AB47+AB50+AB20+AB53+AB32</f>
        <v>369714.08999999997</v>
      </c>
      <c r="AC56" s="2796"/>
      <c r="AD56" s="2796"/>
      <c r="AE56" s="2797"/>
      <c r="AF56" s="2795">
        <f t="shared" ref="AF56" si="554">AF14+AF17+AF23+AF26+AF29+AF35+AF38+AF41+AF44+AF47+AF50+AF20+AF53+AF32</f>
        <v>368403.52999999997</v>
      </c>
      <c r="AG56" s="2796"/>
      <c r="AH56" s="2796"/>
      <c r="AI56" s="2797"/>
      <c r="AJ56" s="2795">
        <f t="shared" ref="AJ56" si="555">AJ14+AJ17+AJ23+AJ26+AJ29+AJ35+AJ38+AJ41+AJ44+AJ47+AJ50+AJ20+AJ53+AJ32</f>
        <v>735575.56000000017</v>
      </c>
      <c r="AK56" s="2796"/>
      <c r="AL56" s="2796"/>
      <c r="AM56" s="2797"/>
      <c r="AN56" s="2795">
        <f t="shared" ref="AN56" si="556">AN14+AN17+AN23+AN26+AN29+AN35+AN38+AN41+AN44+AN47+AN50+AN20+AN53+AN32</f>
        <v>358339.16000000003</v>
      </c>
      <c r="AO56" s="2796"/>
      <c r="AP56" s="2796"/>
      <c r="AQ56" s="2797"/>
      <c r="AR56" s="2795">
        <f t="shared" ref="AR56" si="557">AR14+AR17+AR23+AR26+AR29+AR35+AR38+AR41+AR44+AR47+AR50+AR20+AR53+AR32</f>
        <v>438905.22</v>
      </c>
      <c r="AS56" s="2796"/>
      <c r="AT56" s="2796"/>
      <c r="AU56" s="2797"/>
      <c r="AV56" s="2795">
        <f t="shared" ref="AV56" si="558">AV14+AV17+AV23+AV26+AV29+AV35+AV38+AV41+AV44+AV47+AV50+AV20+AV53+AV32</f>
        <v>122559.89000000001</v>
      </c>
      <c r="AW56" s="2796"/>
      <c r="AX56" s="2796"/>
      <c r="AY56" s="2797"/>
      <c r="AZ56" s="2795">
        <f t="shared" ref="AZ56" si="559">AZ14+AZ17+AZ23+AZ26+AZ29+AZ35+AZ38+AZ41+AZ44+AZ47+AZ50+AZ20+AZ53+AZ32</f>
        <v>995525.24</v>
      </c>
      <c r="BA56" s="2796"/>
      <c r="BB56" s="2796"/>
      <c r="BC56" s="2797"/>
      <c r="BD56" s="2795">
        <f t="shared" ref="BD56" si="560">BD14+BD17+BD23+BD26+BD29+BD35+BD38+BD41+BD44+BD47+BD50+BD20+BD53+BD32</f>
        <v>544116.42000000004</v>
      </c>
      <c r="BE56" s="2796"/>
      <c r="BF56" s="2796"/>
      <c r="BG56" s="2797"/>
      <c r="BH56" s="2795">
        <f t="shared" ref="BH56" si="561">BH14+BH17+BH23+BH26+BH29+BH35+BH38+BH41+BH44+BH47+BH50+BH20+BH53+BH32</f>
        <v>748800.36</v>
      </c>
      <c r="BI56" s="2796"/>
      <c r="BJ56" s="2796"/>
      <c r="BK56" s="2797"/>
      <c r="BL56" s="2795">
        <f t="shared" ref="BL56" si="562">BL14+BL17+BL23+BL26+BL29+BL35+BL38+BL41+BL44+BL47+BL50+BL20+BL53+BL32</f>
        <v>468001.22</v>
      </c>
      <c r="BM56" s="2796"/>
      <c r="BN56" s="2796"/>
      <c r="BO56" s="2797"/>
      <c r="BP56" s="2795">
        <f t="shared" ref="BP56" si="563">BP14+BP17+BP23+BP26+BP29+BP35+BP38+BP41+BP44+BP47+BP50+BP20+BP53+BP32</f>
        <v>889731.52</v>
      </c>
      <c r="BQ56" s="2796"/>
      <c r="BR56" s="2796"/>
      <c r="BS56" s="2797"/>
      <c r="BT56" s="2795">
        <f t="shared" ref="BT56" si="564">BT14+BT17+BT23+BT26+BT29+BT35+BT38+BT41+BT44+BT47+BT50+BT20+BT53+BT32</f>
        <v>191846.18</v>
      </c>
      <c r="BU56" s="2796"/>
      <c r="BV56" s="2796"/>
      <c r="BW56" s="2797"/>
      <c r="BX56" s="2795">
        <f t="shared" ref="BX56" si="565">BX14+BX17+BX23+BX26+BX29+BX35+BX38+BX41+BX44+BX47+BX50+BX20+BX53+BX32</f>
        <v>363067.28</v>
      </c>
      <c r="BY56" s="2796"/>
      <c r="BZ56" s="2796"/>
      <c r="CA56" s="2797"/>
      <c r="CB56" s="2795">
        <f t="shared" ref="CB56" si="566">CB14+CB17+CB23+CB26+CB29+CB35+CB38+CB41+CB44+CB47+CB50+CB20+CB53+CB32</f>
        <v>255227.65000000002</v>
      </c>
      <c r="CC56" s="2796"/>
      <c r="CD56" s="2796"/>
      <c r="CE56" s="2797"/>
      <c r="CF56" s="2795">
        <f t="shared" ref="CF56" si="567">CF14+CF17+CF23+CF26+CF29+CF35+CF38+CF41+CF44+CF47+CF50+CF20+CF53+CF32</f>
        <v>415792.02</v>
      </c>
      <c r="CG56" s="2796"/>
      <c r="CH56" s="2796"/>
      <c r="CI56" s="2797"/>
      <c r="CJ56" s="2795">
        <f t="shared" ref="CJ56" si="568">CJ14+CJ17+CJ23+CJ26+CJ29+CJ35+CJ38+CJ41+CJ44+CJ47+CJ50+CJ20+CJ53+CJ32</f>
        <v>375027.78</v>
      </c>
      <c r="CK56" s="2796"/>
      <c r="CL56" s="2796"/>
      <c r="CM56" s="2797"/>
      <c r="CN56" s="2795">
        <f t="shared" ref="CN56" si="569">CN14+CN17+CN23+CN26+CN29+CN35+CN38+CN41+CN44+CN47+CN50+CN20+CN53+CN32</f>
        <v>667562.2699999999</v>
      </c>
      <c r="CO56" s="2796"/>
      <c r="CP56" s="2796"/>
      <c r="CQ56" s="2797"/>
      <c r="CR56" s="2795">
        <f t="shared" ref="CR56" si="570">CR14+CR17+CR23+CR26+CR29+CR35+CR38+CR41+CR44+CR47+CR50+CR20+CR53+CR32</f>
        <v>505768.90915217798</v>
      </c>
      <c r="CS56" s="2796"/>
      <c r="CT56" s="2796"/>
      <c r="CU56" s="2797"/>
      <c r="CV56" s="2795">
        <f t="shared" ref="CV56" si="571">CV14+CV17+CV23+CV26+CV29+CV35+CV38+CV41+CV44+CV47+CV50+CV20+CV53+CV32</f>
        <v>121491.40003999996</v>
      </c>
      <c r="CW56" s="2796"/>
      <c r="CX56" s="2796"/>
      <c r="CY56" s="2797"/>
      <c r="CZ56" s="2795">
        <f t="shared" ref="CZ56" si="572">CZ14+CZ17+CZ23+CZ26+CZ29+CZ35+CZ38+CZ41+CZ44+CZ47+CZ50+CZ20+CZ53+CZ32</f>
        <v>2928.65</v>
      </c>
      <c r="DA56" s="2796"/>
      <c r="DB56" s="2796"/>
      <c r="DC56" s="2797"/>
      <c r="DD56" s="2795">
        <f t="shared" ref="DD56" si="573">DD14+DD17+DD23+DD26+DD29+DD35+DD38+DD41+DD44+DD47+DD50+DD20+DD53+DD32</f>
        <v>2928.65</v>
      </c>
      <c r="DE56" s="2796"/>
      <c r="DF56" s="2796"/>
      <c r="DG56" s="2797"/>
      <c r="DH56" s="2795">
        <f t="shared" ref="DH56" si="574">DH14+DH17+DH23+DH26+DH29+DH35+DH38+DH41+DH44+DH47+DH50+DH20+DH53+DH32</f>
        <v>2928.65</v>
      </c>
      <c r="DI56" s="2796"/>
      <c r="DJ56" s="2796"/>
      <c r="DK56" s="2797"/>
      <c r="DL56" s="2795">
        <f t="shared" ref="DL56" si="575">DL14+DL17+DL23+DL26+DL29+DL35+DL38+DL41+DL44+DL47+DL50+DL20+DL53+DL32</f>
        <v>634894.69999233331</v>
      </c>
      <c r="DM56" s="2796"/>
      <c r="DN56" s="2796"/>
      <c r="DO56" s="2797"/>
      <c r="DP56" s="2795">
        <f t="shared" ref="DP56" si="576">DP14+DP17+DP23+DP26+DP29+DP35+DP38+DP41+DP44+DP47+DP50+DP20+DP53+DP32</f>
        <v>798332.35941799998</v>
      </c>
      <c r="DQ56" s="2796"/>
      <c r="DR56" s="2796"/>
      <c r="DS56" s="2797"/>
      <c r="DT56" s="2795">
        <f t="shared" ref="DT56" si="577">DT14+DT17+DT23+DT26+DT29+DT35+DT38+DT41+DT44+DT47+DT50+DT20+DT53+DT32</f>
        <v>699918.91257900023</v>
      </c>
      <c r="DU56" s="2796"/>
      <c r="DV56" s="2796"/>
      <c r="DW56" s="2797"/>
      <c r="DX56" s="2795">
        <f t="shared" ref="DX56" si="578">DX14+DX17+DX23+DX26+DX29+DX35+DX38+DX41+DX44+DX47+DX50+DX20+DX53+DX32</f>
        <v>1172018.1522046216</v>
      </c>
      <c r="DY56" s="2796"/>
      <c r="DZ56" s="2796"/>
      <c r="EA56" s="2797"/>
      <c r="EB56" s="2795">
        <f t="shared" ref="EB56" si="579">EB14+EB17+EB23+EB26+EB29+EB35+EB38+EB41+EB44+EB47+EB50+EB20+EB53+EB32</f>
        <v>1172018.1522046216</v>
      </c>
      <c r="EC56" s="2796"/>
      <c r="ED56" s="2796"/>
      <c r="EE56" s="2797"/>
      <c r="EF56" s="2795">
        <f t="shared" ref="EF56" si="580">EF14+EF17+EF23+EF26+EF29+EF35+EF38+EF41+EF44+EF47+EF50+EF20+EF53+EF32</f>
        <v>1172018.1522046216</v>
      </c>
      <c r="EG56" s="2796"/>
      <c r="EH56" s="2796"/>
      <c r="EI56" s="2797"/>
      <c r="EJ56" s="2795">
        <f t="shared" ref="EJ56" si="581">EJ14+EJ17+EJ23+EJ26+EJ29+EJ35+EJ38+EJ41+EJ44+EJ47+EJ50+EJ20+EJ53+EJ32</f>
        <v>1172941.822204622</v>
      </c>
      <c r="EK56" s="2796"/>
      <c r="EL56" s="2796"/>
      <c r="EM56" s="2797"/>
      <c r="EN56" s="2813">
        <f>EN14+EN17+EN20+EN23+EN26+EN29+EN32+EN35+EN38+EN41+EN44+EN47+EN50+EN53</f>
        <v>12242697.23118151</v>
      </c>
      <c r="EO56" s="2814"/>
    </row>
    <row r="57" spans="1:151" ht="15.75" thickBot="1">
      <c r="A57" s="2822" t="s">
        <v>698</v>
      </c>
      <c r="B57" s="2823"/>
      <c r="C57" s="2823"/>
      <c r="D57" s="2823"/>
      <c r="E57" s="2824"/>
      <c r="F57" s="2821"/>
      <c r="G57" s="2909"/>
      <c r="H57" s="2789">
        <f>H56</f>
        <v>69111.540000000008</v>
      </c>
      <c r="I57" s="2790"/>
      <c r="J57" s="2790"/>
      <c r="K57" s="2791"/>
      <c r="L57" s="2789">
        <f>H57+L56</f>
        <v>352004.62</v>
      </c>
      <c r="M57" s="2790"/>
      <c r="N57" s="2790"/>
      <c r="O57" s="2791"/>
      <c r="P57" s="2789">
        <f t="shared" ref="P57" si="582">L57+P56</f>
        <v>680745.94</v>
      </c>
      <c r="Q57" s="2790"/>
      <c r="R57" s="2790"/>
      <c r="S57" s="2791"/>
      <c r="T57" s="2789">
        <f t="shared" ref="T57" si="583">P57+T56</f>
        <v>920776.72</v>
      </c>
      <c r="U57" s="2790"/>
      <c r="V57" s="2790"/>
      <c r="W57" s="2791"/>
      <c r="X57" s="2789">
        <f t="shared" ref="X57" si="584">T57+X56</f>
        <v>1165309.6099999999</v>
      </c>
      <c r="Y57" s="2790"/>
      <c r="Z57" s="2790"/>
      <c r="AA57" s="2791"/>
      <c r="AB57" s="2789">
        <f t="shared" ref="AB57" si="585">X57+AB56</f>
        <v>1535023.6999999997</v>
      </c>
      <c r="AC57" s="2790"/>
      <c r="AD57" s="2790"/>
      <c r="AE57" s="2791"/>
      <c r="AF57" s="2789">
        <f t="shared" ref="AF57" si="586">AB57+AF56</f>
        <v>1903427.2299999997</v>
      </c>
      <c r="AG57" s="2790"/>
      <c r="AH57" s="2790"/>
      <c r="AI57" s="2791"/>
      <c r="AJ57" s="2789">
        <f t="shared" ref="AJ57" si="587">AF57+AJ56</f>
        <v>2639002.79</v>
      </c>
      <c r="AK57" s="2790"/>
      <c r="AL57" s="2790"/>
      <c r="AM57" s="2791"/>
      <c r="AN57" s="2789">
        <f t="shared" ref="AN57" si="588">AJ57+AN56</f>
        <v>2997341.95</v>
      </c>
      <c r="AO57" s="2790"/>
      <c r="AP57" s="2790"/>
      <c r="AQ57" s="2791"/>
      <c r="AR57" s="2789">
        <f t="shared" ref="AR57" si="589">AN57+AR56</f>
        <v>3436247.17</v>
      </c>
      <c r="AS57" s="2790"/>
      <c r="AT57" s="2790"/>
      <c r="AU57" s="2791"/>
      <c r="AV57" s="2789">
        <f t="shared" ref="AV57" si="590">AR57+AV56</f>
        <v>3558807.06</v>
      </c>
      <c r="AW57" s="2790"/>
      <c r="AX57" s="2790"/>
      <c r="AY57" s="2791"/>
      <c r="AZ57" s="2789">
        <f t="shared" ref="AZ57" si="591">AV57+AZ56</f>
        <v>4554332.3</v>
      </c>
      <c r="BA57" s="2790"/>
      <c r="BB57" s="2790"/>
      <c r="BC57" s="2791"/>
      <c r="BD57" s="2789">
        <f t="shared" ref="BD57" si="592">AZ57+BD56</f>
        <v>5098448.72</v>
      </c>
      <c r="BE57" s="2790"/>
      <c r="BF57" s="2790"/>
      <c r="BG57" s="2791"/>
      <c r="BH57" s="2789">
        <f t="shared" ref="BH57" si="593">BD57+BH56</f>
        <v>5847249.0800000001</v>
      </c>
      <c r="BI57" s="2790"/>
      <c r="BJ57" s="2790"/>
      <c r="BK57" s="2791"/>
      <c r="BL57" s="2789">
        <f t="shared" ref="BL57" si="594">BH57+BL56</f>
        <v>6315250.2999999998</v>
      </c>
      <c r="BM57" s="2790"/>
      <c r="BN57" s="2790"/>
      <c r="BO57" s="2791"/>
      <c r="BP57" s="2789">
        <f t="shared" ref="BP57" si="595">BL57+BP56</f>
        <v>7204981.8200000003</v>
      </c>
      <c r="BQ57" s="2790"/>
      <c r="BR57" s="2790"/>
      <c r="BS57" s="2791"/>
      <c r="BT57" s="2789">
        <f t="shared" ref="BT57" si="596">BP57+BT56</f>
        <v>7396828</v>
      </c>
      <c r="BU57" s="2790"/>
      <c r="BV57" s="2790"/>
      <c r="BW57" s="2791"/>
      <c r="BX57" s="2789">
        <f t="shared" ref="BX57" si="597">BT57+BX56</f>
        <v>7759895.2800000003</v>
      </c>
      <c r="BY57" s="2790"/>
      <c r="BZ57" s="2790"/>
      <c r="CA57" s="2791"/>
      <c r="CB57" s="2789">
        <f t="shared" ref="CB57" si="598">BX57+CB56</f>
        <v>8015122.9300000006</v>
      </c>
      <c r="CC57" s="2790"/>
      <c r="CD57" s="2790"/>
      <c r="CE57" s="2791"/>
      <c r="CF57" s="2789">
        <f t="shared" ref="CF57" si="599">CB57+CF56</f>
        <v>8430914.9500000011</v>
      </c>
      <c r="CG57" s="2790"/>
      <c r="CH57" s="2790"/>
      <c r="CI57" s="2791"/>
      <c r="CJ57" s="2789">
        <f t="shared" ref="CJ57" si="600">CF57+CJ56</f>
        <v>8805942.7300000004</v>
      </c>
      <c r="CK57" s="2790"/>
      <c r="CL57" s="2790"/>
      <c r="CM57" s="2791"/>
      <c r="CN57" s="2789">
        <f t="shared" ref="CN57" si="601">CJ57+CN56</f>
        <v>9473505</v>
      </c>
      <c r="CO57" s="2790"/>
      <c r="CP57" s="2790"/>
      <c r="CQ57" s="2791"/>
      <c r="CR57" s="2789">
        <f t="shared" ref="CR57" si="602">CN57+CR56</f>
        <v>9979273.9091521781</v>
      </c>
      <c r="CS57" s="2790"/>
      <c r="CT57" s="2790"/>
      <c r="CU57" s="2791"/>
      <c r="CV57" s="2789">
        <f t="shared" ref="CV57" si="603">CR57+CV56</f>
        <v>10100765.309192179</v>
      </c>
      <c r="CW57" s="2790"/>
      <c r="CX57" s="2790"/>
      <c r="CY57" s="2791"/>
      <c r="CZ57" s="2789">
        <f t="shared" ref="CZ57" si="604">CV57+CZ56</f>
        <v>10103693.959192179</v>
      </c>
      <c r="DA57" s="2790"/>
      <c r="DB57" s="2790"/>
      <c r="DC57" s="2791"/>
      <c r="DD57" s="2789">
        <f t="shared" ref="DD57" si="605">CZ57+DD56</f>
        <v>10106622.60919218</v>
      </c>
      <c r="DE57" s="2790"/>
      <c r="DF57" s="2790"/>
      <c r="DG57" s="2791"/>
      <c r="DH57" s="2789">
        <f t="shared" ref="DH57" si="606">DD57+DH56</f>
        <v>10109551.25919218</v>
      </c>
      <c r="DI57" s="2790"/>
      <c r="DJ57" s="2790"/>
      <c r="DK57" s="2791"/>
      <c r="DL57" s="2789">
        <f t="shared" ref="DL57" si="607">DH57+DL56</f>
        <v>10744445.959184512</v>
      </c>
      <c r="DM57" s="2790"/>
      <c r="DN57" s="2790"/>
      <c r="DO57" s="2791"/>
      <c r="DP57" s="2789">
        <f t="shared" ref="DP57" si="608">DL57+DP56</f>
        <v>11542778.318602512</v>
      </c>
      <c r="DQ57" s="2790"/>
      <c r="DR57" s="2790"/>
      <c r="DS57" s="2791"/>
      <c r="DT57" s="2789">
        <f t="shared" ref="DT57" si="609">DL57+DT56</f>
        <v>11444364.871763512</v>
      </c>
      <c r="DU57" s="2790"/>
      <c r="DV57" s="2790"/>
      <c r="DW57" s="2791"/>
      <c r="DX57" s="2789">
        <f t="shared" ref="DX57" si="610">DT57+DX56</f>
        <v>12616383.023968134</v>
      </c>
      <c r="DY57" s="2790"/>
      <c r="DZ57" s="2790"/>
      <c r="EA57" s="2791"/>
      <c r="EB57" s="2789">
        <f t="shared" ref="EB57" si="611">DX57+EB56</f>
        <v>13788401.176172756</v>
      </c>
      <c r="EC57" s="2790"/>
      <c r="ED57" s="2790"/>
      <c r="EE57" s="2791"/>
      <c r="EF57" s="2789">
        <f t="shared" ref="EF57" si="612">EB57+EF56</f>
        <v>14960419.328377377</v>
      </c>
      <c r="EG57" s="2790"/>
      <c r="EH57" s="2790"/>
      <c r="EI57" s="2791"/>
      <c r="EJ57" s="2789">
        <f t="shared" ref="EJ57" si="613">EF57+EJ56</f>
        <v>16133361.150581999</v>
      </c>
      <c r="EK57" s="2790"/>
      <c r="EL57" s="2790"/>
      <c r="EM57" s="2791"/>
      <c r="EN57" s="2809">
        <f>AR57</f>
        <v>3436247.17</v>
      </c>
      <c r="EO57" s="2810"/>
    </row>
    <row r="59" spans="1:151">
      <c r="F59" s="1017"/>
      <c r="G59" s="1017"/>
      <c r="H59" s="2807"/>
      <c r="I59" s="2807"/>
      <c r="J59" s="2807"/>
      <c r="K59" s="2807"/>
      <c r="L59" s="2807"/>
      <c r="M59" s="2807"/>
      <c r="N59" s="2807"/>
      <c r="O59" s="2807"/>
      <c r="P59" s="2807"/>
      <c r="Q59" s="2807"/>
      <c r="R59" s="2807"/>
      <c r="S59" s="2807"/>
      <c r="T59" s="2807"/>
      <c r="U59" s="2807"/>
      <c r="V59" s="2807"/>
      <c r="W59" s="2807"/>
      <c r="X59" s="2807"/>
      <c r="Y59" s="2807"/>
      <c r="Z59" s="2807"/>
      <c r="AA59" s="2807"/>
      <c r="AB59" s="2807"/>
      <c r="AC59" s="2807"/>
      <c r="AD59" s="2807"/>
      <c r="AE59" s="2807"/>
      <c r="AF59" s="2807"/>
      <c r="AG59" s="2807"/>
      <c r="AH59" s="2807"/>
      <c r="AI59" s="2807"/>
      <c r="AJ59" s="2807"/>
      <c r="AK59" s="2807"/>
      <c r="AL59" s="2807"/>
      <c r="AM59" s="2807"/>
      <c r="AN59" s="2807"/>
      <c r="AO59" s="2807"/>
      <c r="AP59" s="2807"/>
      <c r="AQ59" s="2807"/>
      <c r="AR59" s="2807"/>
      <c r="AS59" s="2807"/>
      <c r="AT59" s="2807"/>
      <c r="AU59" s="2807"/>
      <c r="AV59" s="2807"/>
      <c r="AW59" s="2807"/>
      <c r="AX59" s="2807"/>
      <c r="AY59" s="2807"/>
      <c r="AZ59" s="2807"/>
      <c r="BA59" s="2807"/>
      <c r="BB59" s="2807"/>
      <c r="BC59" s="2807"/>
      <c r="BD59" s="2807"/>
      <c r="BE59" s="2807"/>
      <c r="BF59" s="2807"/>
      <c r="BG59" s="2807"/>
      <c r="BH59" s="2807"/>
      <c r="BI59" s="2807"/>
      <c r="BJ59" s="2807"/>
      <c r="BK59" s="2807"/>
      <c r="BL59" s="2807"/>
      <c r="BM59" s="2807"/>
      <c r="BN59" s="2807"/>
      <c r="BO59" s="2807"/>
      <c r="BP59" s="2807"/>
      <c r="BQ59" s="2807"/>
      <c r="BR59" s="2807"/>
      <c r="BS59" s="2807"/>
      <c r="BT59" s="2807"/>
      <c r="BU59" s="2807"/>
      <c r="BV59" s="2807"/>
      <c r="BW59" s="2807"/>
      <c r="BX59" s="2807"/>
      <c r="BY59" s="2807"/>
      <c r="BZ59" s="2807"/>
      <c r="CA59" s="2807"/>
      <c r="CB59" s="2807"/>
      <c r="CC59" s="2807"/>
      <c r="CD59" s="2807"/>
      <c r="CE59" s="2807"/>
      <c r="CF59" s="2807"/>
      <c r="CG59" s="2807"/>
      <c r="CH59" s="2807"/>
      <c r="CI59" s="2807"/>
      <c r="CJ59" s="2807"/>
      <c r="CK59" s="2807"/>
      <c r="CL59" s="2807"/>
      <c r="CM59" s="2807"/>
      <c r="CN59" s="1196"/>
      <c r="CO59" s="1196"/>
      <c r="CP59" s="1196"/>
      <c r="CQ59" s="1196"/>
      <c r="CR59" s="1196"/>
      <c r="CS59" s="1196"/>
      <c r="CT59" s="1196"/>
      <c r="CU59" s="1196"/>
      <c r="CV59" s="2807"/>
      <c r="CW59" s="2807"/>
      <c r="CX59" s="2807"/>
      <c r="CY59" s="2807"/>
      <c r="CZ59" s="1196"/>
      <c r="DA59" s="1196"/>
      <c r="DB59" s="1196"/>
      <c r="DC59" s="1196"/>
      <c r="DD59" s="1196"/>
      <c r="DE59" s="1196"/>
      <c r="DF59" s="1196"/>
      <c r="DG59" s="1196"/>
      <c r="DH59" s="1196"/>
      <c r="DI59" s="1196"/>
      <c r="DJ59" s="1196"/>
      <c r="DK59" s="1196"/>
      <c r="DL59" s="1196"/>
      <c r="DM59" s="1196"/>
      <c r="DN59" s="1196"/>
      <c r="DO59" s="1196"/>
      <c r="DP59" s="1196"/>
      <c r="DQ59" s="1196"/>
      <c r="DR59" s="1196"/>
      <c r="DS59" s="1196"/>
      <c r="DT59" s="1196"/>
      <c r="DU59" s="1196"/>
      <c r="DV59" s="1196"/>
      <c r="DW59" s="1196"/>
      <c r="DX59" s="1196"/>
      <c r="DY59" s="1196"/>
      <c r="DZ59" s="1196"/>
      <c r="EA59" s="1196"/>
      <c r="EB59" s="1196"/>
      <c r="EC59" s="1196"/>
      <c r="ED59" s="1196"/>
      <c r="EE59" s="1196"/>
      <c r="EF59" s="1196"/>
      <c r="EG59" s="1196"/>
      <c r="EH59" s="1196"/>
      <c r="EI59" s="1196"/>
      <c r="EJ59" s="1196"/>
      <c r="EK59" s="1196"/>
      <c r="EL59" s="1196"/>
      <c r="EM59" s="1196"/>
    </row>
    <row r="61" spans="1:151">
      <c r="CD61">
        <v>21</v>
      </c>
      <c r="CF61" s="2811">
        <v>375027.78</v>
      </c>
      <c r="CG61" s="2811"/>
      <c r="CH61" s="2811"/>
      <c r="CI61" s="2811"/>
    </row>
    <row r="62" spans="1:151">
      <c r="BX62" s="2808"/>
      <c r="BY62" s="2808"/>
      <c r="BZ62" s="2808"/>
      <c r="CA62" s="2808"/>
    </row>
    <row r="63" spans="1:151">
      <c r="T63" s="2807"/>
      <c r="U63" s="2807"/>
      <c r="V63" s="2807"/>
      <c r="ER63">
        <f>2163-564</f>
        <v>1599</v>
      </c>
      <c r="ES63">
        <f>ER63-486</f>
        <v>1113</v>
      </c>
    </row>
    <row r="65" spans="76:79">
      <c r="BX65" s="2807"/>
      <c r="BY65" s="2807"/>
      <c r="BZ65" s="2807"/>
      <c r="CA65" s="2807"/>
    </row>
  </sheetData>
  <mergeCells count="1221">
    <mergeCell ref="CR16:CU16"/>
    <mergeCell ref="CJ29:CM29"/>
    <mergeCell ref="AR16:AU16"/>
    <mergeCell ref="AV22:AY22"/>
    <mergeCell ref="BP19:BS19"/>
    <mergeCell ref="BT19:BW19"/>
    <mergeCell ref="BX19:CA19"/>
    <mergeCell ref="AN19:AQ19"/>
    <mergeCell ref="AR19:AU19"/>
    <mergeCell ref="AV19:AY19"/>
    <mergeCell ref="AZ19:BC19"/>
    <mergeCell ref="BD19:BG19"/>
    <mergeCell ref="BH19:BK19"/>
    <mergeCell ref="BT28:BW28"/>
    <mergeCell ref="BP43:BS43"/>
    <mergeCell ref="AV44:AY44"/>
    <mergeCell ref="CN20:CQ20"/>
    <mergeCell ref="CN23:CQ23"/>
    <mergeCell ref="CN26:CQ26"/>
    <mergeCell ref="BD37:BG37"/>
    <mergeCell ref="BH37:BK37"/>
    <mergeCell ref="AN40:AQ40"/>
    <mergeCell ref="AR40:AU40"/>
    <mergeCell ref="AV40:AY40"/>
    <mergeCell ref="AZ40:BC40"/>
    <mergeCell ref="BD40:BG40"/>
    <mergeCell ref="BH40:BK40"/>
    <mergeCell ref="AZ17:BC17"/>
    <mergeCell ref="CN28:CQ28"/>
    <mergeCell ref="AR34:AU34"/>
    <mergeCell ref="AN31:AQ31"/>
    <mergeCell ref="AR31:AU31"/>
    <mergeCell ref="BL19:BO19"/>
    <mergeCell ref="DH17:DK17"/>
    <mergeCell ref="CR23:CU23"/>
    <mergeCell ref="CR25:CU25"/>
    <mergeCell ref="CR46:CU46"/>
    <mergeCell ref="CR47:CU47"/>
    <mergeCell ref="CN22:CQ22"/>
    <mergeCell ref="CR52:CU52"/>
    <mergeCell ref="CR50:CU50"/>
    <mergeCell ref="CR26:CU26"/>
    <mergeCell ref="CR28:CU28"/>
    <mergeCell ref="CR29:CU29"/>
    <mergeCell ref="AZ31:BC31"/>
    <mergeCell ref="BH28:BK28"/>
    <mergeCell ref="BL28:BO28"/>
    <mergeCell ref="CB17:CE17"/>
    <mergeCell ref="CB19:CE19"/>
    <mergeCell ref="CB20:CE20"/>
    <mergeCell ref="CB22:CE22"/>
    <mergeCell ref="CB23:CE23"/>
    <mergeCell ref="CF20:CI20"/>
    <mergeCell ref="CF22:CI22"/>
    <mergeCell ref="CF23:CI23"/>
    <mergeCell ref="CF25:CI25"/>
    <mergeCell ref="CF26:CI26"/>
    <mergeCell ref="CF28:CI28"/>
    <mergeCell ref="CB29:CE29"/>
    <mergeCell ref="BT34:BW34"/>
    <mergeCell ref="CF17:CI17"/>
    <mergeCell ref="CZ19:DC19"/>
    <mergeCell ref="DD40:DG40"/>
    <mergeCell ref="DD49:DG49"/>
    <mergeCell ref="AF40:AI40"/>
    <mergeCell ref="AJ40:AM40"/>
    <mergeCell ref="AZ37:BC37"/>
    <mergeCell ref="DD53:DG53"/>
    <mergeCell ref="DH54:DK54"/>
    <mergeCell ref="DD54:DG54"/>
    <mergeCell ref="DD32:DG32"/>
    <mergeCell ref="CR53:CU53"/>
    <mergeCell ref="CR54:CU54"/>
    <mergeCell ref="BT43:BW43"/>
    <mergeCell ref="AV50:AY50"/>
    <mergeCell ref="AZ50:BC50"/>
    <mergeCell ref="AR49:AU49"/>
    <mergeCell ref="BL52:BO52"/>
    <mergeCell ref="AF43:AI43"/>
    <mergeCell ref="AZ43:BC43"/>
    <mergeCell ref="BD43:BG43"/>
    <mergeCell ref="BH43:BK43"/>
    <mergeCell ref="BL43:BO43"/>
    <mergeCell ref="BT32:BW32"/>
    <mergeCell ref="BX32:CA32"/>
    <mergeCell ref="AV34:AY34"/>
    <mergeCell ref="AF34:AI34"/>
    <mergeCell ref="AJ34:AM34"/>
    <mergeCell ref="CB40:CE40"/>
    <mergeCell ref="AN52:AQ52"/>
    <mergeCell ref="AR52:AU52"/>
    <mergeCell ref="AV52:AY52"/>
    <mergeCell ref="AZ52:BC52"/>
    <mergeCell ref="BD52:BG52"/>
    <mergeCell ref="BH52:BK52"/>
    <mergeCell ref="CV49:CY49"/>
    <mergeCell ref="G39:G41"/>
    <mergeCell ref="AB29:AE29"/>
    <mergeCell ref="H17:K17"/>
    <mergeCell ref="L17:O17"/>
    <mergeCell ref="P17:S17"/>
    <mergeCell ref="T17:W17"/>
    <mergeCell ref="X17:AA17"/>
    <mergeCell ref="AB17:AE17"/>
    <mergeCell ref="X19:AA19"/>
    <mergeCell ref="AB19:AE19"/>
    <mergeCell ref="P23:S23"/>
    <mergeCell ref="CR31:CU31"/>
    <mergeCell ref="CR32:CU32"/>
    <mergeCell ref="CR34:CU34"/>
    <mergeCell ref="CR35:CU35"/>
    <mergeCell ref="CR37:CU37"/>
    <mergeCell ref="CR38:CU38"/>
    <mergeCell ref="CR40:CU40"/>
    <mergeCell ref="CR41:CU41"/>
    <mergeCell ref="CN40:CQ40"/>
    <mergeCell ref="AN34:AQ34"/>
    <mergeCell ref="AF19:AI19"/>
    <mergeCell ref="BD25:BG25"/>
    <mergeCell ref="BH25:BK25"/>
    <mergeCell ref="CB25:CE25"/>
    <mergeCell ref="BP25:BS25"/>
    <mergeCell ref="CF19:CI19"/>
    <mergeCell ref="AJ19:AM19"/>
    <mergeCell ref="AF25:AI25"/>
    <mergeCell ref="AJ25:AM25"/>
    <mergeCell ref="AF20:AI20"/>
    <mergeCell ref="AJ20:AM20"/>
    <mergeCell ref="T10:W10"/>
    <mergeCell ref="X10:AA10"/>
    <mergeCell ref="G21:G23"/>
    <mergeCell ref="G24:G26"/>
    <mergeCell ref="G27:G29"/>
    <mergeCell ref="G30:G32"/>
    <mergeCell ref="T55:W55"/>
    <mergeCell ref="P52:S52"/>
    <mergeCell ref="T52:W52"/>
    <mergeCell ref="P44:S44"/>
    <mergeCell ref="T44:W44"/>
    <mergeCell ref="X44:AA44"/>
    <mergeCell ref="AB44:AE44"/>
    <mergeCell ref="T40:W40"/>
    <mergeCell ref="T41:W41"/>
    <mergeCell ref="X41:AA41"/>
    <mergeCell ref="AB41:AE41"/>
    <mergeCell ref="X40:AA40"/>
    <mergeCell ref="P19:S19"/>
    <mergeCell ref="T19:W19"/>
    <mergeCell ref="X20:AA20"/>
    <mergeCell ref="AB20:AE20"/>
    <mergeCell ref="L23:O23"/>
    <mergeCell ref="G48:G50"/>
    <mergeCell ref="G51:G53"/>
    <mergeCell ref="G54:G57"/>
    <mergeCell ref="AB50:AE50"/>
    <mergeCell ref="T25:W25"/>
    <mergeCell ref="T23:W23"/>
    <mergeCell ref="L28:O28"/>
    <mergeCell ref="P28:S28"/>
    <mergeCell ref="T28:W28"/>
    <mergeCell ref="CB13:CE13"/>
    <mergeCell ref="CB14:CE14"/>
    <mergeCell ref="A1:EO2"/>
    <mergeCell ref="A3:C8"/>
    <mergeCell ref="D3:BD3"/>
    <mergeCell ref="D4:BD4"/>
    <mergeCell ref="D5:BD5"/>
    <mergeCell ref="D6:BD6"/>
    <mergeCell ref="D7:AX7"/>
    <mergeCell ref="AY7:BD7"/>
    <mergeCell ref="D8:AX8"/>
    <mergeCell ref="AY8:BD8"/>
    <mergeCell ref="EN32:EO32"/>
    <mergeCell ref="L32:O32"/>
    <mergeCell ref="P32:S32"/>
    <mergeCell ref="T32:W32"/>
    <mergeCell ref="X32:AA32"/>
    <mergeCell ref="AB32:AE32"/>
    <mergeCell ref="AF32:AI32"/>
    <mergeCell ref="AJ32:AM32"/>
    <mergeCell ref="AN32:AQ32"/>
    <mergeCell ref="AR32:AU32"/>
    <mergeCell ref="G15:G17"/>
    <mergeCell ref="CR13:CU13"/>
    <mergeCell ref="CR14:CU14"/>
    <mergeCell ref="A9:EO9"/>
    <mergeCell ref="A10:A11"/>
    <mergeCell ref="B10:E11"/>
    <mergeCell ref="F10:F11"/>
    <mergeCell ref="H10:K10"/>
    <mergeCell ref="L10:O10"/>
    <mergeCell ref="P10:S10"/>
    <mergeCell ref="AZ13:BC13"/>
    <mergeCell ref="BD13:BG13"/>
    <mergeCell ref="G10:G11"/>
    <mergeCell ref="EN10:EO11"/>
    <mergeCell ref="AB10:AE10"/>
    <mergeCell ref="CF10:CI10"/>
    <mergeCell ref="CB10:CE10"/>
    <mergeCell ref="CV10:CY10"/>
    <mergeCell ref="CJ10:CM10"/>
    <mergeCell ref="CN10:CQ10"/>
    <mergeCell ref="CR10:CU10"/>
    <mergeCell ref="CZ10:DC10"/>
    <mergeCell ref="DD10:DG10"/>
    <mergeCell ref="DH10:DK10"/>
    <mergeCell ref="DL10:DO10"/>
    <mergeCell ref="DX10:EA10"/>
    <mergeCell ref="AN14:AQ14"/>
    <mergeCell ref="AR14:AU14"/>
    <mergeCell ref="DD14:DG14"/>
    <mergeCell ref="DT10:DW10"/>
    <mergeCell ref="DT13:DW13"/>
    <mergeCell ref="BT13:BW13"/>
    <mergeCell ref="CN14:CQ14"/>
    <mergeCell ref="P13:S13"/>
    <mergeCell ref="T13:W13"/>
    <mergeCell ref="X13:AA13"/>
    <mergeCell ref="AB13:AE13"/>
    <mergeCell ref="AF13:AI13"/>
    <mergeCell ref="AJ13:AM13"/>
    <mergeCell ref="BH13:BK13"/>
    <mergeCell ref="BH14:BK14"/>
    <mergeCell ref="EN14:EO14"/>
    <mergeCell ref="BP16:BS16"/>
    <mergeCell ref="CF16:CI16"/>
    <mergeCell ref="A12:A14"/>
    <mergeCell ref="B12:D14"/>
    <mergeCell ref="F12:F14"/>
    <mergeCell ref="EN12:EO12"/>
    <mergeCell ref="H13:K13"/>
    <mergeCell ref="L13:O13"/>
    <mergeCell ref="BD10:BG10"/>
    <mergeCell ref="BH10:BK10"/>
    <mergeCell ref="BL10:BO10"/>
    <mergeCell ref="BP10:BS10"/>
    <mergeCell ref="BT10:BW10"/>
    <mergeCell ref="BX10:CA10"/>
    <mergeCell ref="AF10:AI10"/>
    <mergeCell ref="AJ10:AM10"/>
    <mergeCell ref="AN10:AQ10"/>
    <mergeCell ref="AR10:AU10"/>
    <mergeCell ref="EN13:EO13"/>
    <mergeCell ref="AN13:AQ13"/>
    <mergeCell ref="AR13:AU13"/>
    <mergeCell ref="AV10:AY10"/>
    <mergeCell ref="AZ10:BC10"/>
    <mergeCell ref="G12:G14"/>
    <mergeCell ref="H14:K14"/>
    <mergeCell ref="BP13:BS13"/>
    <mergeCell ref="L14:O14"/>
    <mergeCell ref="BX13:CA13"/>
    <mergeCell ref="BL13:BO13"/>
    <mergeCell ref="CF13:CI13"/>
    <mergeCell ref="CF14:CI14"/>
    <mergeCell ref="AV13:AY13"/>
    <mergeCell ref="AF16:AI16"/>
    <mergeCell ref="AJ16:AM16"/>
    <mergeCell ref="BL14:BO14"/>
    <mergeCell ref="BP14:BS14"/>
    <mergeCell ref="BT14:BW14"/>
    <mergeCell ref="BX14:CA14"/>
    <mergeCell ref="AV14:AY14"/>
    <mergeCell ref="AZ14:BC14"/>
    <mergeCell ref="BD14:BG14"/>
    <mergeCell ref="DD13:DG13"/>
    <mergeCell ref="CN13:CQ13"/>
    <mergeCell ref="CB16:CE16"/>
    <mergeCell ref="CZ13:DC13"/>
    <mergeCell ref="CZ14:DC14"/>
    <mergeCell ref="CZ16:DC16"/>
    <mergeCell ref="EN15:EO15"/>
    <mergeCell ref="P14:S14"/>
    <mergeCell ref="T14:W14"/>
    <mergeCell ref="X14:AA14"/>
    <mergeCell ref="AB14:AE14"/>
    <mergeCell ref="AF14:AI14"/>
    <mergeCell ref="AJ14:AM14"/>
    <mergeCell ref="BX16:CA16"/>
    <mergeCell ref="EN16:EO16"/>
    <mergeCell ref="AV16:AY16"/>
    <mergeCell ref="AZ16:BC16"/>
    <mergeCell ref="BD16:BG16"/>
    <mergeCell ref="AN16:AQ16"/>
    <mergeCell ref="DL16:DO16"/>
    <mergeCell ref="BT16:BW16"/>
    <mergeCell ref="BH16:BK16"/>
    <mergeCell ref="BL16:BO16"/>
    <mergeCell ref="AV23:AY23"/>
    <mergeCell ref="G18:G20"/>
    <mergeCell ref="EN17:EO17"/>
    <mergeCell ref="A18:A20"/>
    <mergeCell ref="B18:D20"/>
    <mergeCell ref="F18:F20"/>
    <mergeCell ref="EN18:EO18"/>
    <mergeCell ref="H19:K19"/>
    <mergeCell ref="L19:O19"/>
    <mergeCell ref="BD17:BG17"/>
    <mergeCell ref="BH17:BK17"/>
    <mergeCell ref="BL17:BO17"/>
    <mergeCell ref="BP17:BS17"/>
    <mergeCell ref="BT17:BW17"/>
    <mergeCell ref="BX17:CA17"/>
    <mergeCell ref="AF17:AI17"/>
    <mergeCell ref="AJ17:AM17"/>
    <mergeCell ref="AN17:AQ17"/>
    <mergeCell ref="AR17:AU17"/>
    <mergeCell ref="EN19:EO19"/>
    <mergeCell ref="H20:K20"/>
    <mergeCell ref="CR17:CU17"/>
    <mergeCell ref="A15:A17"/>
    <mergeCell ref="B15:D17"/>
    <mergeCell ref="F15:F17"/>
    <mergeCell ref="H16:K16"/>
    <mergeCell ref="L16:O16"/>
    <mergeCell ref="P16:S16"/>
    <mergeCell ref="T16:W16"/>
    <mergeCell ref="AV17:AY17"/>
    <mergeCell ref="X16:AA16"/>
    <mergeCell ref="AB16:AE16"/>
    <mergeCell ref="CZ23:DC23"/>
    <mergeCell ref="CZ25:DC25"/>
    <mergeCell ref="B21:D23"/>
    <mergeCell ref="F21:F23"/>
    <mergeCell ref="EN21:EO21"/>
    <mergeCell ref="H22:K22"/>
    <mergeCell ref="L22:O22"/>
    <mergeCell ref="P22:S22"/>
    <mergeCell ref="T22:W22"/>
    <mergeCell ref="BL20:BO20"/>
    <mergeCell ref="BP20:BS20"/>
    <mergeCell ref="BT20:BW20"/>
    <mergeCell ref="BX20:CA20"/>
    <mergeCell ref="AN20:AQ20"/>
    <mergeCell ref="AR20:AU20"/>
    <mergeCell ref="AV20:AY20"/>
    <mergeCell ref="AZ20:BC20"/>
    <mergeCell ref="BD20:BG20"/>
    <mergeCell ref="BH20:BK20"/>
    <mergeCell ref="BX22:CA22"/>
    <mergeCell ref="EN22:EO22"/>
    <mergeCell ref="H23:K23"/>
    <mergeCell ref="X22:AA22"/>
    <mergeCell ref="AB22:AE22"/>
    <mergeCell ref="AJ22:AM22"/>
    <mergeCell ref="AN22:AQ22"/>
    <mergeCell ref="AR22:AU22"/>
    <mergeCell ref="AZ22:BC22"/>
    <mergeCell ref="BD22:BG22"/>
    <mergeCell ref="BH22:BK22"/>
    <mergeCell ref="BL22:BO22"/>
    <mergeCell ref="BP22:BS22"/>
    <mergeCell ref="CB26:CE26"/>
    <mergeCell ref="CN25:CQ25"/>
    <mergeCell ref="EN20:EO20"/>
    <mergeCell ref="P26:S26"/>
    <mergeCell ref="T26:W26"/>
    <mergeCell ref="CZ26:DC26"/>
    <mergeCell ref="L20:O20"/>
    <mergeCell ref="P20:S20"/>
    <mergeCell ref="T20:W20"/>
    <mergeCell ref="BT25:BW25"/>
    <mergeCell ref="BX25:CA25"/>
    <mergeCell ref="AN25:AQ25"/>
    <mergeCell ref="AR25:AU25"/>
    <mergeCell ref="AV25:AY25"/>
    <mergeCell ref="BT22:BW22"/>
    <mergeCell ref="AF22:AI22"/>
    <mergeCell ref="CJ20:CM20"/>
    <mergeCell ref="X25:AA25"/>
    <mergeCell ref="CR20:CU20"/>
    <mergeCell ref="CR22:CU22"/>
    <mergeCell ref="P25:S25"/>
    <mergeCell ref="AB25:AE25"/>
    <mergeCell ref="CJ26:CM26"/>
    <mergeCell ref="AZ25:BC25"/>
    <mergeCell ref="AZ23:BC23"/>
    <mergeCell ref="AZ26:BC26"/>
    <mergeCell ref="BD26:BG26"/>
    <mergeCell ref="BH26:BK26"/>
    <mergeCell ref="AF26:AI26"/>
    <mergeCell ref="EN23:EO23"/>
    <mergeCell ref="CZ20:DC20"/>
    <mergeCell ref="CZ22:DC22"/>
    <mergeCell ref="EB31:EE31"/>
    <mergeCell ref="EF31:EI31"/>
    <mergeCell ref="A24:A26"/>
    <mergeCell ref="B24:D26"/>
    <mergeCell ref="F24:F26"/>
    <mergeCell ref="EN24:EO24"/>
    <mergeCell ref="H25:K25"/>
    <mergeCell ref="L25:O25"/>
    <mergeCell ref="BD23:BG23"/>
    <mergeCell ref="BH23:BK23"/>
    <mergeCell ref="BL23:BO23"/>
    <mergeCell ref="BP23:BS23"/>
    <mergeCell ref="BT23:BW23"/>
    <mergeCell ref="BX23:CA23"/>
    <mergeCell ref="AF23:AI23"/>
    <mergeCell ref="AJ23:AM23"/>
    <mergeCell ref="AN23:AQ23"/>
    <mergeCell ref="AR23:AU23"/>
    <mergeCell ref="EN25:EO25"/>
    <mergeCell ref="H26:K26"/>
    <mergeCell ref="L26:O26"/>
    <mergeCell ref="EN26:EO26"/>
    <mergeCell ref="BL25:BO25"/>
    <mergeCell ref="X23:AA23"/>
    <mergeCell ref="AB23:AE23"/>
    <mergeCell ref="BL26:BO26"/>
    <mergeCell ref="BP26:BS26"/>
    <mergeCell ref="BT26:BW26"/>
    <mergeCell ref="BX26:CA26"/>
    <mergeCell ref="AN26:AQ26"/>
    <mergeCell ref="AR26:AU26"/>
    <mergeCell ref="A21:A23"/>
    <mergeCell ref="X34:AA34"/>
    <mergeCell ref="AB34:AE34"/>
    <mergeCell ref="X28:AA28"/>
    <mergeCell ref="AB28:AE28"/>
    <mergeCell ref="AR28:AU28"/>
    <mergeCell ref="AV31:AY31"/>
    <mergeCell ref="AZ28:BC28"/>
    <mergeCell ref="BD28:BG28"/>
    <mergeCell ref="EN27:EO27"/>
    <mergeCell ref="BL32:BO32"/>
    <mergeCell ref="BP32:BS32"/>
    <mergeCell ref="EN31:EO31"/>
    <mergeCell ref="CF31:CI31"/>
    <mergeCell ref="CF32:CI32"/>
    <mergeCell ref="CZ28:DC28"/>
    <mergeCell ref="CZ29:DC29"/>
    <mergeCell ref="CZ31:DC31"/>
    <mergeCell ref="CZ32:DC32"/>
    <mergeCell ref="AN28:AQ28"/>
    <mergeCell ref="BD31:BG31"/>
    <mergeCell ref="BH31:BK31"/>
    <mergeCell ref="BL31:BO31"/>
    <mergeCell ref="BP31:BS31"/>
    <mergeCell ref="BT31:BW31"/>
    <mergeCell ref="BX31:CA31"/>
    <mergeCell ref="BX28:CA28"/>
    <mergeCell ref="CB31:CE31"/>
    <mergeCell ref="CB32:CE32"/>
    <mergeCell ref="CB28:CE28"/>
    <mergeCell ref="CF29:CI29"/>
    <mergeCell ref="CV31:CY31"/>
    <mergeCell ref="DX31:EA31"/>
    <mergeCell ref="X26:AA26"/>
    <mergeCell ref="AB26:AE26"/>
    <mergeCell ref="AF28:AI28"/>
    <mergeCell ref="AJ28:AM28"/>
    <mergeCell ref="X29:AA29"/>
    <mergeCell ref="H32:K32"/>
    <mergeCell ref="T31:W31"/>
    <mergeCell ref="X31:AA31"/>
    <mergeCell ref="AB31:AE31"/>
    <mergeCell ref="AF31:AI31"/>
    <mergeCell ref="AJ31:AM31"/>
    <mergeCell ref="BP28:BS28"/>
    <mergeCell ref="AV29:AY29"/>
    <mergeCell ref="AZ29:BC29"/>
    <mergeCell ref="AV32:AY32"/>
    <mergeCell ref="AZ32:BC32"/>
    <mergeCell ref="BD32:BG32"/>
    <mergeCell ref="H31:K31"/>
    <mergeCell ref="L31:O31"/>
    <mergeCell ref="P31:S31"/>
    <mergeCell ref="BH32:BK32"/>
    <mergeCell ref="H29:K29"/>
    <mergeCell ref="L29:O29"/>
    <mergeCell ref="P29:S29"/>
    <mergeCell ref="T29:W29"/>
    <mergeCell ref="AV26:AY26"/>
    <mergeCell ref="AJ26:AM26"/>
    <mergeCell ref="EN34:EO34"/>
    <mergeCell ref="T35:W35"/>
    <mergeCell ref="AV28:AY28"/>
    <mergeCell ref="A27:A29"/>
    <mergeCell ref="B27:D29"/>
    <mergeCell ref="F27:F29"/>
    <mergeCell ref="A30:A32"/>
    <mergeCell ref="EN29:EO29"/>
    <mergeCell ref="A33:A35"/>
    <mergeCell ref="B33:D35"/>
    <mergeCell ref="F33:F35"/>
    <mergeCell ref="EN33:EO33"/>
    <mergeCell ref="H34:K34"/>
    <mergeCell ref="L34:O34"/>
    <mergeCell ref="BD29:BG29"/>
    <mergeCell ref="BH29:BK29"/>
    <mergeCell ref="BL29:BO29"/>
    <mergeCell ref="BP29:BS29"/>
    <mergeCell ref="BT29:BW29"/>
    <mergeCell ref="BX29:CA29"/>
    <mergeCell ref="AF29:AI29"/>
    <mergeCell ref="AJ29:AM29"/>
    <mergeCell ref="AN29:AQ29"/>
    <mergeCell ref="AR29:AU29"/>
    <mergeCell ref="B30:D32"/>
    <mergeCell ref="F30:F32"/>
    <mergeCell ref="EN30:EO30"/>
    <mergeCell ref="H28:K28"/>
    <mergeCell ref="CJ32:CM32"/>
    <mergeCell ref="EN28:EO28"/>
    <mergeCell ref="DL28:DO28"/>
    <mergeCell ref="X35:AA35"/>
    <mergeCell ref="P37:S37"/>
    <mergeCell ref="T37:W37"/>
    <mergeCell ref="BL35:BO35"/>
    <mergeCell ref="BP35:BS35"/>
    <mergeCell ref="BT35:BW35"/>
    <mergeCell ref="BX35:CA35"/>
    <mergeCell ref="AN35:AQ35"/>
    <mergeCell ref="AR35:AU35"/>
    <mergeCell ref="AV35:AY35"/>
    <mergeCell ref="AZ35:BC35"/>
    <mergeCell ref="BL37:BO37"/>
    <mergeCell ref="X37:AA37"/>
    <mergeCell ref="AB37:AE37"/>
    <mergeCell ref="H35:K35"/>
    <mergeCell ref="CJ38:CM38"/>
    <mergeCell ref="L35:O35"/>
    <mergeCell ref="P35:S35"/>
    <mergeCell ref="AF35:AI35"/>
    <mergeCell ref="AJ35:AM35"/>
    <mergeCell ref="BT37:BW37"/>
    <mergeCell ref="AB35:AE35"/>
    <mergeCell ref="AV37:AY37"/>
    <mergeCell ref="H37:K37"/>
    <mergeCell ref="L37:O37"/>
    <mergeCell ref="F42:F44"/>
    <mergeCell ref="H44:K44"/>
    <mergeCell ref="BL40:BO40"/>
    <mergeCell ref="BP40:BS40"/>
    <mergeCell ref="BT40:BW40"/>
    <mergeCell ref="P40:S40"/>
    <mergeCell ref="BX37:CA37"/>
    <mergeCell ref="EN37:EO37"/>
    <mergeCell ref="P38:S38"/>
    <mergeCell ref="AB40:AE40"/>
    <mergeCell ref="CF38:CI38"/>
    <mergeCell ref="CF40:CI40"/>
    <mergeCell ref="BX40:CA40"/>
    <mergeCell ref="BX34:CA34"/>
    <mergeCell ref="CB38:CE38"/>
    <mergeCell ref="AF37:AI37"/>
    <mergeCell ref="CB34:CE34"/>
    <mergeCell ref="CB35:CE35"/>
    <mergeCell ref="CB37:CE37"/>
    <mergeCell ref="CZ34:DC34"/>
    <mergeCell ref="CZ35:DC35"/>
    <mergeCell ref="CZ37:DC37"/>
    <mergeCell ref="BD35:BG35"/>
    <mergeCell ref="BH35:BK35"/>
    <mergeCell ref="AZ34:BC34"/>
    <mergeCell ref="BD34:BG34"/>
    <mergeCell ref="BH34:BK34"/>
    <mergeCell ref="CZ38:DC38"/>
    <mergeCell ref="G36:G38"/>
    <mergeCell ref="P34:S34"/>
    <mergeCell ref="T34:W34"/>
    <mergeCell ref="EN36:EO36"/>
    <mergeCell ref="EN35:EO35"/>
    <mergeCell ref="BL34:BO34"/>
    <mergeCell ref="BP34:BS34"/>
    <mergeCell ref="T38:W38"/>
    <mergeCell ref="X38:AA38"/>
    <mergeCell ref="AB38:AE38"/>
    <mergeCell ref="AJ37:AM37"/>
    <mergeCell ref="AN37:AQ37"/>
    <mergeCell ref="H43:K43"/>
    <mergeCell ref="L43:O43"/>
    <mergeCell ref="P43:S43"/>
    <mergeCell ref="T43:W43"/>
    <mergeCell ref="EN43:EO43"/>
    <mergeCell ref="AV43:AY43"/>
    <mergeCell ref="G42:G44"/>
    <mergeCell ref="A39:A41"/>
    <mergeCell ref="B39:D41"/>
    <mergeCell ref="F39:F41"/>
    <mergeCell ref="H41:K41"/>
    <mergeCell ref="L41:O41"/>
    <mergeCell ref="P41:S41"/>
    <mergeCell ref="BP37:BS37"/>
    <mergeCell ref="AV38:AY38"/>
    <mergeCell ref="AZ38:BC38"/>
    <mergeCell ref="AR37:AU37"/>
    <mergeCell ref="A36:A38"/>
    <mergeCell ref="B36:D38"/>
    <mergeCell ref="F36:F38"/>
    <mergeCell ref="AZ44:BC44"/>
    <mergeCell ref="A42:A44"/>
    <mergeCell ref="B42:D44"/>
    <mergeCell ref="X43:AA43"/>
    <mergeCell ref="AB43:AE43"/>
    <mergeCell ref="CJ44:CM44"/>
    <mergeCell ref="CF41:CI41"/>
    <mergeCell ref="BX43:CA43"/>
    <mergeCell ref="CB41:CE41"/>
    <mergeCell ref="CB43:CE43"/>
    <mergeCell ref="EN41:EO41"/>
    <mergeCell ref="CJ41:CM41"/>
    <mergeCell ref="EF43:EI43"/>
    <mergeCell ref="EF44:EI44"/>
    <mergeCell ref="CF43:CI43"/>
    <mergeCell ref="EN42:EO42"/>
    <mergeCell ref="G33:G35"/>
    <mergeCell ref="EN39:EO39"/>
    <mergeCell ref="H40:K40"/>
    <mergeCell ref="L40:O40"/>
    <mergeCell ref="BD38:BG38"/>
    <mergeCell ref="BH38:BK38"/>
    <mergeCell ref="BL38:BO38"/>
    <mergeCell ref="BP38:BS38"/>
    <mergeCell ref="BT38:BW38"/>
    <mergeCell ref="AF38:AI38"/>
    <mergeCell ref="AJ38:AM38"/>
    <mergeCell ref="AN38:AQ38"/>
    <mergeCell ref="AR38:AU38"/>
    <mergeCell ref="EN40:EO40"/>
    <mergeCell ref="L38:O38"/>
    <mergeCell ref="EN38:EO38"/>
    <mergeCell ref="H38:K38"/>
    <mergeCell ref="CZ40:DC40"/>
    <mergeCell ref="DL40:DO40"/>
    <mergeCell ref="DX44:EA44"/>
    <mergeCell ref="EN44:EO44"/>
    <mergeCell ref="BL41:BO41"/>
    <mergeCell ref="BP41:BS41"/>
    <mergeCell ref="BT41:BW41"/>
    <mergeCell ref="AN41:AQ41"/>
    <mergeCell ref="AR41:AU41"/>
    <mergeCell ref="AV41:AY41"/>
    <mergeCell ref="AZ41:BC41"/>
    <mergeCell ref="BD41:BG41"/>
    <mergeCell ref="BH41:BK41"/>
    <mergeCell ref="AF41:AI41"/>
    <mergeCell ref="AJ41:AM41"/>
    <mergeCell ref="AJ43:AM43"/>
    <mergeCell ref="AN43:AQ43"/>
    <mergeCell ref="AR43:AU43"/>
    <mergeCell ref="CR43:CU43"/>
    <mergeCell ref="DD47:DG47"/>
    <mergeCell ref="CN43:CQ43"/>
    <mergeCell ref="CV43:CY43"/>
    <mergeCell ref="CN46:CQ46"/>
    <mergeCell ref="DX41:EA41"/>
    <mergeCell ref="DX43:EA43"/>
    <mergeCell ref="DT41:DW41"/>
    <mergeCell ref="DT43:DW43"/>
    <mergeCell ref="DT44:DW44"/>
    <mergeCell ref="DL41:DO41"/>
    <mergeCell ref="EB50:EE50"/>
    <mergeCell ref="EJ50:EM50"/>
    <mergeCell ref="DX49:EA49"/>
    <mergeCell ref="DX50:EA50"/>
    <mergeCell ref="EN45:EO45"/>
    <mergeCell ref="H46:K46"/>
    <mergeCell ref="L46:O46"/>
    <mergeCell ref="BD44:BG44"/>
    <mergeCell ref="BH44:BK44"/>
    <mergeCell ref="BL44:BO44"/>
    <mergeCell ref="BP44:BS44"/>
    <mergeCell ref="BT44:BW44"/>
    <mergeCell ref="AF44:AI44"/>
    <mergeCell ref="AJ44:AM44"/>
    <mergeCell ref="AN44:AQ44"/>
    <mergeCell ref="AR44:AU44"/>
    <mergeCell ref="EN46:EO46"/>
    <mergeCell ref="H47:K47"/>
    <mergeCell ref="L47:O47"/>
    <mergeCell ref="X46:AA46"/>
    <mergeCell ref="AB46:AE46"/>
    <mergeCell ref="AF46:AI46"/>
    <mergeCell ref="AJ46:AM46"/>
    <mergeCell ref="BH47:BK47"/>
    <mergeCell ref="T46:W46"/>
    <mergeCell ref="CJ47:CM47"/>
    <mergeCell ref="L44:O44"/>
    <mergeCell ref="CB44:CE44"/>
    <mergeCell ref="DT46:DW46"/>
    <mergeCell ref="DT47:DW47"/>
    <mergeCell ref="DL46:DO46"/>
    <mergeCell ref="DL47:DO47"/>
    <mergeCell ref="EN49:EO49"/>
    <mergeCell ref="AV49:AY49"/>
    <mergeCell ref="AF47:AI47"/>
    <mergeCell ref="AJ47:AM47"/>
    <mergeCell ref="BT49:BW49"/>
    <mergeCell ref="AZ49:BC49"/>
    <mergeCell ref="BD49:BG49"/>
    <mergeCell ref="BH49:BK49"/>
    <mergeCell ref="BL49:BO49"/>
    <mergeCell ref="BP49:BS49"/>
    <mergeCell ref="AF49:AI49"/>
    <mergeCell ref="AJ49:AM49"/>
    <mergeCell ref="AN49:AQ49"/>
    <mergeCell ref="EN47:EO47"/>
    <mergeCell ref="EN48:EO48"/>
    <mergeCell ref="BL47:BO47"/>
    <mergeCell ref="BL46:BO46"/>
    <mergeCell ref="BP46:BS46"/>
    <mergeCell ref="BT46:BW46"/>
    <mergeCell ref="AN46:AQ46"/>
    <mergeCell ref="AR46:AU46"/>
    <mergeCell ref="AV46:AY46"/>
    <mergeCell ref="AZ46:BC46"/>
    <mergeCell ref="BD46:BG46"/>
    <mergeCell ref="BH46:BK46"/>
    <mergeCell ref="DX46:EA46"/>
    <mergeCell ref="DX47:EA47"/>
    <mergeCell ref="EB47:EE47"/>
    <mergeCell ref="EB49:EE49"/>
    <mergeCell ref="A48:A50"/>
    <mergeCell ref="B48:D50"/>
    <mergeCell ref="F48:F50"/>
    <mergeCell ref="H50:K50"/>
    <mergeCell ref="P47:S47"/>
    <mergeCell ref="T47:W47"/>
    <mergeCell ref="X47:AA47"/>
    <mergeCell ref="AB47:AE47"/>
    <mergeCell ref="BP47:BS47"/>
    <mergeCell ref="BT47:BW47"/>
    <mergeCell ref="AN47:AQ47"/>
    <mergeCell ref="AR47:AU47"/>
    <mergeCell ref="AV47:AY47"/>
    <mergeCell ref="AZ47:BC47"/>
    <mergeCell ref="BD47:BG47"/>
    <mergeCell ref="A45:A47"/>
    <mergeCell ref="B45:D47"/>
    <mergeCell ref="F45:F47"/>
    <mergeCell ref="G45:G47"/>
    <mergeCell ref="L50:O50"/>
    <mergeCell ref="P50:S50"/>
    <mergeCell ref="T50:W50"/>
    <mergeCell ref="X50:AA50"/>
    <mergeCell ref="X49:AA49"/>
    <mergeCell ref="AB49:AE49"/>
    <mergeCell ref="H49:K49"/>
    <mergeCell ref="L49:O49"/>
    <mergeCell ref="P49:S49"/>
    <mergeCell ref="T49:W49"/>
    <mergeCell ref="P46:S46"/>
    <mergeCell ref="X52:AA52"/>
    <mergeCell ref="AB52:AE52"/>
    <mergeCell ref="AF52:AI52"/>
    <mergeCell ref="AJ52:AM52"/>
    <mergeCell ref="EN50:EO50"/>
    <mergeCell ref="A51:A53"/>
    <mergeCell ref="B51:D53"/>
    <mergeCell ref="F51:F53"/>
    <mergeCell ref="EN51:EO51"/>
    <mergeCell ref="H52:K52"/>
    <mergeCell ref="L52:O52"/>
    <mergeCell ref="BD50:BG50"/>
    <mergeCell ref="BH50:BK50"/>
    <mergeCell ref="BL50:BO50"/>
    <mergeCell ref="BP50:BS50"/>
    <mergeCell ref="BT50:BW50"/>
    <mergeCell ref="AF50:AI50"/>
    <mergeCell ref="AJ50:AM50"/>
    <mergeCell ref="AN50:AQ50"/>
    <mergeCell ref="AR50:AU50"/>
    <mergeCell ref="EN52:EO52"/>
    <mergeCell ref="H53:K53"/>
    <mergeCell ref="L53:O53"/>
    <mergeCell ref="P53:S53"/>
    <mergeCell ref="T53:W53"/>
    <mergeCell ref="X53:AA53"/>
    <mergeCell ref="EN53:EO53"/>
    <mergeCell ref="BP52:BS52"/>
    <mergeCell ref="BT52:BW52"/>
    <mergeCell ref="CZ50:DC50"/>
    <mergeCell ref="CZ52:DC52"/>
    <mergeCell ref="CZ53:DC53"/>
    <mergeCell ref="A54:E54"/>
    <mergeCell ref="F54:F57"/>
    <mergeCell ref="H54:K54"/>
    <mergeCell ref="L54:O54"/>
    <mergeCell ref="P54:S54"/>
    <mergeCell ref="T54:W54"/>
    <mergeCell ref="X54:AA54"/>
    <mergeCell ref="AB54:AE54"/>
    <mergeCell ref="BL53:BO53"/>
    <mergeCell ref="BP53:BS53"/>
    <mergeCell ref="BT53:BW53"/>
    <mergeCell ref="BX53:CA53"/>
    <mergeCell ref="AN53:AQ53"/>
    <mergeCell ref="AR53:AU53"/>
    <mergeCell ref="AV53:AY53"/>
    <mergeCell ref="AZ53:BC53"/>
    <mergeCell ref="BD53:BG53"/>
    <mergeCell ref="BH53:BK53"/>
    <mergeCell ref="A57:E57"/>
    <mergeCell ref="H57:K57"/>
    <mergeCell ref="L57:O57"/>
    <mergeCell ref="P57:S57"/>
    <mergeCell ref="T57:W57"/>
    <mergeCell ref="X57:AA57"/>
    <mergeCell ref="AR56:AU56"/>
    <mergeCell ref="A56:E56"/>
    <mergeCell ref="H56:K56"/>
    <mergeCell ref="L56:O56"/>
    <mergeCell ref="P56:S56"/>
    <mergeCell ref="EN54:EO54"/>
    <mergeCell ref="A55:E55"/>
    <mergeCell ref="H55:K55"/>
    <mergeCell ref="L55:O55"/>
    <mergeCell ref="P55:S55"/>
    <mergeCell ref="AB53:AE53"/>
    <mergeCell ref="AF53:AI53"/>
    <mergeCell ref="AJ53:AM53"/>
    <mergeCell ref="BD54:BG54"/>
    <mergeCell ref="DH55:DK55"/>
    <mergeCell ref="DH56:DK56"/>
    <mergeCell ref="BX55:CA55"/>
    <mergeCell ref="CZ56:DC56"/>
    <mergeCell ref="CZ55:DC55"/>
    <mergeCell ref="CV55:CY55"/>
    <mergeCell ref="CV56:CY56"/>
    <mergeCell ref="BH54:BK54"/>
    <mergeCell ref="BL54:BO54"/>
    <mergeCell ref="BP54:BS54"/>
    <mergeCell ref="BT54:BW54"/>
    <mergeCell ref="AF54:AI54"/>
    <mergeCell ref="AJ54:AM54"/>
    <mergeCell ref="AN54:AQ54"/>
    <mergeCell ref="AR54:AU54"/>
    <mergeCell ref="AV54:AY54"/>
    <mergeCell ref="AZ54:BC54"/>
    <mergeCell ref="BT56:BW56"/>
    <mergeCell ref="X56:AA56"/>
    <mergeCell ref="AB56:AE56"/>
    <mergeCell ref="AF56:AI56"/>
    <mergeCell ref="AJ56:AM56"/>
    <mergeCell ref="AN56:AQ56"/>
    <mergeCell ref="H59:K59"/>
    <mergeCell ref="L59:O59"/>
    <mergeCell ref="P59:S59"/>
    <mergeCell ref="T59:W59"/>
    <mergeCell ref="X59:AA59"/>
    <mergeCell ref="CF59:CI59"/>
    <mergeCell ref="EN55:EO55"/>
    <mergeCell ref="BP55:BS55"/>
    <mergeCell ref="BT55:BW55"/>
    <mergeCell ref="T56:W56"/>
    <mergeCell ref="AZ55:BC55"/>
    <mergeCell ref="BD55:BG55"/>
    <mergeCell ref="BH55:BK55"/>
    <mergeCell ref="BL55:BO55"/>
    <mergeCell ref="AB55:AE55"/>
    <mergeCell ref="AF55:AI55"/>
    <mergeCell ref="AJ55:AM55"/>
    <mergeCell ref="AN55:AQ55"/>
    <mergeCell ref="AR55:AU55"/>
    <mergeCell ref="AV55:AY55"/>
    <mergeCell ref="EN56:EO56"/>
    <mergeCell ref="AV56:AY56"/>
    <mergeCell ref="AZ56:BC56"/>
    <mergeCell ref="BD56:BG56"/>
    <mergeCell ref="BH56:BK56"/>
    <mergeCell ref="BL56:BO56"/>
    <mergeCell ref="BP56:BS56"/>
    <mergeCell ref="CB56:CE56"/>
    <mergeCell ref="CJ55:CM55"/>
    <mergeCell ref="CJ56:CM56"/>
    <mergeCell ref="X55:AA55"/>
    <mergeCell ref="CJ57:CM57"/>
    <mergeCell ref="T63:V63"/>
    <mergeCell ref="EN57:EO57"/>
    <mergeCell ref="AZ57:BC57"/>
    <mergeCell ref="BD57:BG57"/>
    <mergeCell ref="BH57:BK57"/>
    <mergeCell ref="BL57:BO57"/>
    <mergeCell ref="BP57:BS57"/>
    <mergeCell ref="BT57:BW57"/>
    <mergeCell ref="AB57:AE57"/>
    <mergeCell ref="AF57:AI57"/>
    <mergeCell ref="AJ57:AM57"/>
    <mergeCell ref="AN57:AQ57"/>
    <mergeCell ref="AR57:AU57"/>
    <mergeCell ref="AV57:AY57"/>
    <mergeCell ref="AB59:AE59"/>
    <mergeCell ref="AF59:AI59"/>
    <mergeCell ref="AJ59:AM59"/>
    <mergeCell ref="AN59:AQ59"/>
    <mergeCell ref="AR59:AU59"/>
    <mergeCell ref="AV59:AY59"/>
    <mergeCell ref="AZ59:BC59"/>
    <mergeCell ref="CJ59:CM59"/>
    <mergeCell ref="BD59:BG59"/>
    <mergeCell ref="BH59:BK59"/>
    <mergeCell ref="BL59:BO59"/>
    <mergeCell ref="DH57:DK57"/>
    <mergeCell ref="CV57:CY57"/>
    <mergeCell ref="CF61:CI61"/>
    <mergeCell ref="BP59:BS59"/>
    <mergeCell ref="BT59:BW59"/>
    <mergeCell ref="CV59:CY59"/>
    <mergeCell ref="CZ57:DC57"/>
    <mergeCell ref="CN16:CQ16"/>
    <mergeCell ref="CN17:CQ17"/>
    <mergeCell ref="CN19:CQ19"/>
    <mergeCell ref="CJ17:CM17"/>
    <mergeCell ref="CJ23:CM23"/>
    <mergeCell ref="CJ35:CM35"/>
    <mergeCell ref="CF34:CI34"/>
    <mergeCell ref="CF35:CI35"/>
    <mergeCell ref="CF37:CI37"/>
    <mergeCell ref="BX65:CA65"/>
    <mergeCell ref="CF44:CI44"/>
    <mergeCell ref="CF46:CI46"/>
    <mergeCell ref="CF47:CI47"/>
    <mergeCell ref="CF49:CI49"/>
    <mergeCell ref="CF50:CI50"/>
    <mergeCell ref="BX56:CA56"/>
    <mergeCell ref="BX57:CA57"/>
    <mergeCell ref="CF55:CI55"/>
    <mergeCell ref="CF56:CI56"/>
    <mergeCell ref="CF57:CI57"/>
    <mergeCell ref="BX59:CA59"/>
    <mergeCell ref="CB59:CE59"/>
    <mergeCell ref="BX44:CA44"/>
    <mergeCell ref="BX46:CA46"/>
    <mergeCell ref="BX49:CA49"/>
    <mergeCell ref="BX50:CA50"/>
    <mergeCell ref="CF52:CI52"/>
    <mergeCell ref="CF53:CI53"/>
    <mergeCell ref="CB57:CE57"/>
    <mergeCell ref="CB46:CE46"/>
    <mergeCell ref="CB47:CE47"/>
    <mergeCell ref="BX62:CA62"/>
    <mergeCell ref="CJ50:CM50"/>
    <mergeCell ref="CJ53:CM53"/>
    <mergeCell ref="CJ54:CM54"/>
    <mergeCell ref="CN52:CQ52"/>
    <mergeCell ref="CN53:CQ53"/>
    <mergeCell ref="CF54:CI54"/>
    <mergeCell ref="CR49:CU49"/>
    <mergeCell ref="CN55:CQ55"/>
    <mergeCell ref="CN56:CQ56"/>
    <mergeCell ref="CN57:CQ57"/>
    <mergeCell ref="CN50:CQ50"/>
    <mergeCell ref="BX52:CA52"/>
    <mergeCell ref="CB52:CE52"/>
    <mergeCell ref="CB53:CE53"/>
    <mergeCell ref="CB54:CE54"/>
    <mergeCell ref="CB55:CE55"/>
    <mergeCell ref="CB49:CE49"/>
    <mergeCell ref="CB50:CE50"/>
    <mergeCell ref="CR55:CU55"/>
    <mergeCell ref="CN54:CQ54"/>
    <mergeCell ref="BX54:CA54"/>
    <mergeCell ref="CR56:CU56"/>
    <mergeCell ref="CR57:CU57"/>
    <mergeCell ref="CV14:CY14"/>
    <mergeCell ref="CV16:CY16"/>
    <mergeCell ref="CV17:CY17"/>
    <mergeCell ref="CV22:CY22"/>
    <mergeCell ref="CV23:CY23"/>
    <mergeCell ref="CZ41:DC41"/>
    <mergeCell ref="CV34:CY34"/>
    <mergeCell ref="CV35:CY35"/>
    <mergeCell ref="CV37:CY37"/>
    <mergeCell ref="CV38:CY38"/>
    <mergeCell ref="CZ46:DC46"/>
    <mergeCell ref="CZ47:DC47"/>
    <mergeCell ref="CZ49:DC49"/>
    <mergeCell ref="CV28:CY28"/>
    <mergeCell ref="CV29:CY29"/>
    <mergeCell ref="DL25:DO25"/>
    <mergeCell ref="DD20:DG20"/>
    <mergeCell ref="DD22:DG22"/>
    <mergeCell ref="DL26:DO26"/>
    <mergeCell ref="DL22:DO22"/>
    <mergeCell ref="DL23:DO23"/>
    <mergeCell ref="DL19:DO19"/>
    <mergeCell ref="DL20:DO20"/>
    <mergeCell ref="DL17:DO17"/>
    <mergeCell ref="CV46:CY46"/>
    <mergeCell ref="DL44:DO44"/>
    <mergeCell ref="DL31:DO31"/>
    <mergeCell ref="DL29:DO29"/>
    <mergeCell ref="CZ43:DC43"/>
    <mergeCell ref="CZ44:DC44"/>
    <mergeCell ref="CZ17:DC17"/>
    <mergeCell ref="DL35:DO35"/>
    <mergeCell ref="CZ54:DC54"/>
    <mergeCell ref="CN29:CQ29"/>
    <mergeCell ref="CN31:CQ31"/>
    <mergeCell ref="CN32:CQ32"/>
    <mergeCell ref="CN34:CQ34"/>
    <mergeCell ref="CN35:CQ35"/>
    <mergeCell ref="CN38:CQ38"/>
    <mergeCell ref="CN41:CQ41"/>
    <mergeCell ref="CN44:CQ44"/>
    <mergeCell ref="CN47:CQ47"/>
    <mergeCell ref="CN49:CQ49"/>
    <mergeCell ref="CR44:CU44"/>
    <mergeCell ref="CV50:CY50"/>
    <mergeCell ref="CV52:CY52"/>
    <mergeCell ref="CV53:CY53"/>
    <mergeCell ref="CV54:CY54"/>
    <mergeCell ref="DD34:DG34"/>
    <mergeCell ref="DD35:DG35"/>
    <mergeCell ref="DD37:DG37"/>
    <mergeCell ref="DD38:DG38"/>
    <mergeCell ref="CN37:CQ37"/>
    <mergeCell ref="CV40:CY40"/>
    <mergeCell ref="DL54:DO54"/>
    <mergeCell ref="DL55:DO55"/>
    <mergeCell ref="DL56:DO56"/>
    <mergeCell ref="DL57:DO57"/>
    <mergeCell ref="DL49:DO49"/>
    <mergeCell ref="DL50:DO50"/>
    <mergeCell ref="DL43:DO43"/>
    <mergeCell ref="DT49:DW49"/>
    <mergeCell ref="DT50:DW50"/>
    <mergeCell ref="DT52:DW52"/>
    <mergeCell ref="DT53:DW53"/>
    <mergeCell ref="DL53:DO53"/>
    <mergeCell ref="DP56:DS56"/>
    <mergeCell ref="DP57:DS57"/>
    <mergeCell ref="DP55:DS55"/>
    <mergeCell ref="DP54:DS54"/>
    <mergeCell ref="DL52:DO52"/>
    <mergeCell ref="DP53:DS53"/>
    <mergeCell ref="DP50:DS50"/>
    <mergeCell ref="DX34:EA34"/>
    <mergeCell ref="DD55:DG55"/>
    <mergeCell ref="DD56:DG56"/>
    <mergeCell ref="DD57:DG57"/>
    <mergeCell ref="DD46:DG46"/>
    <mergeCell ref="DT14:DW14"/>
    <mergeCell ref="DT16:DW16"/>
    <mergeCell ref="DT17:DW17"/>
    <mergeCell ref="DT19:DW19"/>
    <mergeCell ref="DT20:DW20"/>
    <mergeCell ref="DT22:DW22"/>
    <mergeCell ref="DT23:DW23"/>
    <mergeCell ref="DT25:DW25"/>
    <mergeCell ref="DT26:DW26"/>
    <mergeCell ref="DT32:DW32"/>
    <mergeCell ref="DT34:DW34"/>
    <mergeCell ref="DT37:DW37"/>
    <mergeCell ref="DT38:DW38"/>
    <mergeCell ref="DT40:DW40"/>
    <mergeCell ref="DD41:DG41"/>
    <mergeCell ref="DD43:DG43"/>
    <mergeCell ref="DD44:DG44"/>
    <mergeCell ref="DD16:DG16"/>
    <mergeCell ref="DD17:DG17"/>
    <mergeCell ref="DD19:DG19"/>
    <mergeCell ref="DD23:DG23"/>
    <mergeCell ref="DX37:EA37"/>
    <mergeCell ref="DX38:EA38"/>
    <mergeCell ref="DT54:DW54"/>
    <mergeCell ref="DT55:DW55"/>
    <mergeCell ref="DT56:DW56"/>
    <mergeCell ref="DT57:DW57"/>
    <mergeCell ref="EF23:EI23"/>
    <mergeCell ref="EF25:EI25"/>
    <mergeCell ref="EF26:EI26"/>
    <mergeCell ref="DX52:EA52"/>
    <mergeCell ref="DX53:EA53"/>
    <mergeCell ref="DX54:EA54"/>
    <mergeCell ref="DX55:EA55"/>
    <mergeCell ref="DX56:EA56"/>
    <mergeCell ref="DX57:EA57"/>
    <mergeCell ref="EB16:EE16"/>
    <mergeCell ref="EB17:EE17"/>
    <mergeCell ref="EB19:EE19"/>
    <mergeCell ref="EB20:EE20"/>
    <mergeCell ref="EB22:EE22"/>
    <mergeCell ref="EB23:EE23"/>
    <mergeCell ref="EB25:EE25"/>
    <mergeCell ref="EB26:EE26"/>
    <mergeCell ref="EB28:EE28"/>
    <mergeCell ref="EB29:EE29"/>
    <mergeCell ref="EB34:EE34"/>
    <mergeCell ref="EB35:EE35"/>
    <mergeCell ref="EB37:EE37"/>
    <mergeCell ref="EB38:EE38"/>
    <mergeCell ref="EB40:EE40"/>
    <mergeCell ref="EB41:EE41"/>
    <mergeCell ref="EB43:EE43"/>
    <mergeCell ref="EB44:EE44"/>
    <mergeCell ref="EB46:EE46"/>
    <mergeCell ref="DX16:EA16"/>
    <mergeCell ref="DX17:EA17"/>
    <mergeCell ref="EB52:EE52"/>
    <mergeCell ref="EB57:EE57"/>
    <mergeCell ref="DT31:DW31"/>
    <mergeCell ref="DX32:EA32"/>
    <mergeCell ref="DX40:EA40"/>
    <mergeCell ref="EF56:EI56"/>
    <mergeCell ref="EF57:EI57"/>
    <mergeCell ref="EB32:EE32"/>
    <mergeCell ref="EJ38:EM38"/>
    <mergeCell ref="EJ40:EM40"/>
    <mergeCell ref="EJ41:EM41"/>
    <mergeCell ref="EJ43:EM43"/>
    <mergeCell ref="EF32:EI32"/>
    <mergeCell ref="DL13:DO13"/>
    <mergeCell ref="DX13:EA13"/>
    <mergeCell ref="EB13:EE13"/>
    <mergeCell ref="EF13:EI13"/>
    <mergeCell ref="DL14:DO14"/>
    <mergeCell ref="DX14:EA14"/>
    <mergeCell ref="EB14:EE14"/>
    <mergeCell ref="EF14:EI14"/>
    <mergeCell ref="EJ44:EM44"/>
    <mergeCell ref="EJ46:EM46"/>
    <mergeCell ref="EJ47:EM47"/>
    <mergeCell ref="EJ49:EM49"/>
    <mergeCell ref="EB53:EE53"/>
    <mergeCell ref="EB54:EE54"/>
    <mergeCell ref="EB55:EE55"/>
    <mergeCell ref="EB56:EE56"/>
    <mergeCell ref="EF16:EI16"/>
    <mergeCell ref="EJ55:EM55"/>
    <mergeCell ref="EJ56:EM56"/>
    <mergeCell ref="EF17:EI17"/>
    <mergeCell ref="EF19:EI19"/>
    <mergeCell ref="EJ57:EM57"/>
    <mergeCell ref="EF10:EI10"/>
    <mergeCell ref="EJ13:EM13"/>
    <mergeCell ref="EJ14:EM14"/>
    <mergeCell ref="EJ16:EM16"/>
    <mergeCell ref="EJ17:EM17"/>
    <mergeCell ref="EJ19:EM19"/>
    <mergeCell ref="EJ20:EM20"/>
    <mergeCell ref="EJ22:EM22"/>
    <mergeCell ref="EJ23:EM23"/>
    <mergeCell ref="EJ25:EM25"/>
    <mergeCell ref="EJ26:EM26"/>
    <mergeCell ref="EJ28:EM28"/>
    <mergeCell ref="EJ29:EM29"/>
    <mergeCell ref="EJ31:EM31"/>
    <mergeCell ref="EJ32:EM32"/>
    <mergeCell ref="EJ34:EM34"/>
    <mergeCell ref="EJ35:EM35"/>
    <mergeCell ref="EJ37:EM37"/>
    <mergeCell ref="EF46:EI46"/>
    <mergeCell ref="EF47:EI47"/>
    <mergeCell ref="EF49:EI49"/>
    <mergeCell ref="EF50:EI50"/>
    <mergeCell ref="EF52:EI52"/>
    <mergeCell ref="EF53:EI53"/>
    <mergeCell ref="EF54:EI54"/>
    <mergeCell ref="EF55:EI55"/>
    <mergeCell ref="EF28:EI28"/>
    <mergeCell ref="EF29:EI29"/>
    <mergeCell ref="EF34:EI34"/>
    <mergeCell ref="EF20:EI20"/>
    <mergeCell ref="EF22:EI22"/>
    <mergeCell ref="DP16:DS16"/>
    <mergeCell ref="DP19:DS19"/>
    <mergeCell ref="DP22:DS22"/>
    <mergeCell ref="DP25:DS25"/>
    <mergeCell ref="DP28:DS28"/>
    <mergeCell ref="DP34:DS34"/>
    <mergeCell ref="DP37:DS37"/>
    <mergeCell ref="DP40:DS40"/>
    <mergeCell ref="DP43:DS43"/>
    <mergeCell ref="DP46:DS46"/>
    <mergeCell ref="DP49:DS49"/>
    <mergeCell ref="DP52:DS52"/>
    <mergeCell ref="EJ52:EM52"/>
    <mergeCell ref="EJ53:EM53"/>
    <mergeCell ref="EJ54:EM54"/>
    <mergeCell ref="DT35:DW35"/>
    <mergeCell ref="DX19:EA19"/>
    <mergeCell ref="DX20:EA20"/>
    <mergeCell ref="DX22:EA22"/>
    <mergeCell ref="DX23:EA23"/>
    <mergeCell ref="DX25:EA25"/>
    <mergeCell ref="DX26:EA26"/>
    <mergeCell ref="DX28:EA28"/>
    <mergeCell ref="DX29:EA29"/>
    <mergeCell ref="EF35:EI35"/>
    <mergeCell ref="EF37:EI37"/>
    <mergeCell ref="EF38:EI38"/>
    <mergeCell ref="EF40:EI40"/>
    <mergeCell ref="EF41:EI41"/>
    <mergeCell ref="DX35:EA35"/>
    <mergeCell ref="DT28:DW28"/>
    <mergeCell ref="DT29:DW29"/>
    <mergeCell ref="DH16:DK16"/>
    <mergeCell ref="CJ16:CM16"/>
    <mergeCell ref="CJ19:CM19"/>
    <mergeCell ref="CJ28:CM28"/>
    <mergeCell ref="CJ34:CM34"/>
    <mergeCell ref="CJ49:CM49"/>
    <mergeCell ref="CJ52:CM52"/>
    <mergeCell ref="DP10:DS10"/>
    <mergeCell ref="DP20:DS20"/>
    <mergeCell ref="DP17:DS17"/>
    <mergeCell ref="DP26:DS26"/>
    <mergeCell ref="DP23:DS23"/>
    <mergeCell ref="DP38:DS38"/>
    <mergeCell ref="DP35:DS35"/>
    <mergeCell ref="DP29:DS29"/>
    <mergeCell ref="DP47:DS47"/>
    <mergeCell ref="DP44:DS44"/>
    <mergeCell ref="DP41:DS41"/>
    <mergeCell ref="DD25:DG25"/>
    <mergeCell ref="DD26:DG26"/>
    <mergeCell ref="DD28:DG28"/>
    <mergeCell ref="DD29:DG29"/>
    <mergeCell ref="DD31:DG31"/>
    <mergeCell ref="CR19:CU19"/>
    <mergeCell ref="DD52:DG52"/>
    <mergeCell ref="DL37:DO37"/>
    <mergeCell ref="DL38:DO38"/>
    <mergeCell ref="DL34:DO34"/>
    <mergeCell ref="CV19:CY19"/>
    <mergeCell ref="CV25:CY25"/>
    <mergeCell ref="DD50:DG50"/>
    <mergeCell ref="CV13:CY13"/>
  </mergeCells>
  <phoneticPr fontId="87" type="noConversion"/>
  <conditionalFormatting sqref="H54 L54 P54 T54 X54 AB54 AF54 AJ54 AN54 AR54 AV54 AZ54 BD54 BH54 BL54 BP54 BT54 BX54 CB54 CF54 CJ54 CN54 CR54 CV54 CZ54 DD54 DH54 DL54 DT54 DX54 EB54 EF54 DP54">
    <cfRule type="colorScale" priority="3">
      <colorScale>
        <cfvo type="num" val="1"/>
        <cfvo type="num" val="1000000000000"/>
        <color rgb="FFFFFF00"/>
        <color rgb="FFFFFF00"/>
      </colorScale>
    </cfRule>
  </conditionalFormatting>
  <conditionalFormatting sqref="AS48:AU48 AK21:AM21 BE39:BG39 I24:K24 BQ51:BS51 BA21:BC21 AK51:AM51 AK30:AM30 BE15:BG15 AW21:AY21 AK18:AM18 BI12:BK12 AO27:AQ27 BM15:BO15 BE21:BG21 AW18:AY18 BU30:BW30 BQ21:BS21 AG21:AI21 AW24:AY24 BA30:BC30 BU24:BW24 BM24:BO24 BI24:BK24 BA24:BC24 BU33:BW33 BE33:BG33 AK15:AM15 Y18:AA18 Q30:S30 AW30:AY30 BA42:BC42 M12:O12 AG42:AI42 Y51:AA51 BI36:BK36 U39:W39 BU15:BW15 BU42:BW42 BM51:BO51 BM39:BO39 BI39:BK39 BI30:BK30 BU36:BW36 BM30:BO30 BM33:BO33 BA39:BC39 BE24:BG24 BU27:BW27 BM18:BO18 BA36:BC36 BQ30:BS30 BA48:BC48 Q45:S45 AG12:AI12 BU21:BW21 BE12:BG12 BA12:BC12 AW12:AY12 AW15:AY15 AG18:AI18 BI15:BK15 BQ15:BS15 BM12:BO12 BU12:BW12 BQ12:BS12 BI21:BK21 BA15:BC15 Q15:S15 U18:W18 AS15:AU15 Q18:S18 BM21:BO21 BI18:BK18 BE18:BG18 BA18:BC18 AS21:AU21 BU18:BW18 BQ18:BS18 AS18:AU18 AO18:AQ18 BQ24:BS24 BE36:BG36 BI33:BK33 AW39:AY39 AS30:AU30 AW27:AY27 BM27:BO27 BI27:BK27 BE27:BG27 BA27:BC27 AC30:AE30 BE30:BG30 BQ27:BS27 AO30:AQ30 Q27:S27 AK27:AM27 AO33:AQ33 AK33:AM33 U33:W33 AS33:AU33 AS27:AU27 BA33:BC33 AW33:AY33 AW36:AY36 BQ33:BS33 Y36:AA36 U36:W36 Q39:S39 BM36:BO36 BM45:BO45 BQ36:BS36 AC48:AE48 BU39:BW39 BQ39:BS39 Q36:S36 AW42:AY42 AW48:AY48 BQ42:BS42 BM42:BO42 BI42:BK42 BE42:BG42 BU51:BW51 BI45:BK45 BE45:BG45 BA45:BC45 AW45:AY45 BU45:BW45 BQ45:BS45 BQ48:BS48 BM48:BO48 BI48:BK48 BE48:BG48 BU48:BW48 BI51:BK51 BE51:BG51 BA51:BC51 AW51:AY51 AG39:AI39 Q48:S48 AO51:AQ51 AS51:AU51 AG51:AI51 AG48:AI48 AO48:AQ48 AK48:AM48 I48:K48 AS45:AU45 Y45:AA45 Y48:AA48 U48:W48 M48:O48 Q42:S42 U45:W45 AK45:AM45 AG33:AI33 I45:K45 AO45:AQ45 AG45:AI45 M45:O45 M42:O42 I42:K42 AO42:AQ42 AK42:AM42 Y39:AA39 AS42:AU42 M39:O39 AG36:AI36 AC42:AE42 AK39:AM39 M24:O24 AS39:AU39 AO39:AQ39 AO36:AQ36 I39:K39 Y33:AA33 AS36:AU36 AK36:AM36 M36:O36 AG27:AI27 I36:K36 AC33:AE33 Q33:S33 AG30:AI30 Y30:AA30 AO24:AQ24 M33:O33 I33:K33 AC36:AE36 I18:K18 AC18:AE18 M30:O30 AO21:AQ21 AS24:AU24 Y24:AA24 AC27:AE27 Y27:AA27 I27:K27 U30:W30 U27:W27 I30:K30 M27:O27 AK24:AM24 U24:W24 AC51:AE51 M21:O21 U21:W21 Q21:S21 AO15:AQ15 Y21:AA21 I21:K21 M18:O18 U15:W15 AG15:AI15 I15:K15 AS12:AU12 AC15:AE15 Y15:AA15 M15:O15 AK12:AM12 AC12:AE12 Y12:AA12 U12:W12 Q12:S12 AO12:AQ12 AC45:AE45 Y42:AA42 AC39:AE39 U42:W42 AC24:AE24 AC21:AE21 Q24:S24 AG24:AI24 BX53 CB53 CF53 CJ53 CN53 CR53 CV53 CZ53 DD53 H55:H57 DT53 H12:K12 L12:L50 P12:P50 T12:T50 X12:X53 AB12:AB53 AF12:AF53 AJ12:AJ53 AN12:AN53 AR12:AR53 AV12:AV53 AZ12:AZ53 BD12:BD53 BH12:BH53 BL12:BL53 BP12:BP53 BT12:BT53 H13:H50 H52:H53 T52:T53 P52:P53 L52:L53 H51:W51 L55:L57 P55:P57 T55:T57 X55:X57 AB55:AB57 AF55:AF57 AJ55:AJ57 AN55:AN57 AR55:AR57 AV55:AV57 AZ55:AZ57 BD55:BD57 BH55:BH57 BL55:BL57 BP55:BP57 BT55:BT57 BX55:BX57 CB55:CB57 CF55:CF57 CJ55:CJ57 CN55:CN57 CR55:CR57 CV55:CV57 CZ55:CZ57 DD55:DD57 DH55:DH57 DL55:DL57 DT55:DT57 DX55:DX57 EB55:EB57 EF55:EF57 DP55:DP57">
    <cfRule type="colorScale" priority="20">
      <colorScale>
        <cfvo type="num" val="1"/>
        <cfvo type="num" val="1000000000000"/>
        <color rgb="FFFFFF00"/>
        <color rgb="FFFFFF00"/>
      </colorScale>
    </cfRule>
  </conditionalFormatting>
  <conditionalFormatting sqref="EJ54">
    <cfRule type="colorScale" priority="1">
      <colorScale>
        <cfvo type="num" val="1"/>
        <cfvo type="num" val="1000000000000"/>
        <color rgb="FFFFFF00"/>
        <color rgb="FFFFFF00"/>
      </colorScale>
    </cfRule>
  </conditionalFormatting>
  <conditionalFormatting sqref="EJ55:EJ57">
    <cfRule type="colorScale" priority="2">
      <colorScale>
        <cfvo type="num" val="1"/>
        <cfvo type="num" val="1000000000000"/>
        <color rgb="FFFFFF00"/>
        <color rgb="FFFFFF00"/>
      </colorScale>
    </cfRule>
  </conditionalFormatting>
  <pageMargins left="0.51181102362204722" right="0.51181102362204722" top="0.78740157480314965" bottom="0.78740157480314965" header="0.31496062992125984" footer="0.31496062992125984"/>
  <pageSetup paperSize="9" scale="29" fitToHeight="0" orientation="landscape" horizontalDpi="4294967293" verticalDpi="4294967293" r:id="rId1"/>
  <colBreaks count="1" manualBreakCount="1">
    <brk id="83" max="56"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dimension ref="A1"/>
  <sheetViews>
    <sheetView workbookViewId="0">
      <selection activeCell="P17" sqref="P17"/>
    </sheetView>
  </sheetViews>
  <sheetFormatPr defaultRowHeight="15"/>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10 - RESUMO</vt:lpstr>
      <vt:lpstr>Relatório Fotográfico </vt:lpstr>
      <vt:lpstr>11 - FINANCEIRA</vt:lpstr>
      <vt:lpstr>12 - CORPO</vt:lpstr>
      <vt:lpstr>CRONOGRAMA</vt:lpstr>
      <vt:lpstr>Projeto Tampas </vt:lpstr>
      <vt:lpstr>'10 - RESUMO'!Area_de_impressao</vt:lpstr>
      <vt:lpstr>'11 - FINANCEIRA'!Area_de_impressao</vt:lpstr>
      <vt:lpstr>'12 - CORPO'!Area_de_impressao</vt:lpstr>
      <vt:lpstr>CRONOGRAMA!Area_de_impressao</vt:lpstr>
      <vt:lpstr>'Relatório Fotográfico '!Area_de_impressao</vt:lpstr>
      <vt:lpstr>'10 - RESUMO'!Titulos_de_impressao</vt:lpstr>
      <vt:lpstr>'11 - FINANCEIRA'!Titulos_de_impressao</vt:lpstr>
      <vt:lpstr>'12 - CORPO'!Titulos_de_impressao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FELIPE</dc:creator>
  <cp:lastModifiedBy>Douglas Felippe Reisen da Silva</cp:lastModifiedBy>
  <cp:lastPrinted>2025-09-25T14:27:08Z</cp:lastPrinted>
  <dcterms:created xsi:type="dcterms:W3CDTF">2023-07-11T17:31:54Z</dcterms:created>
  <dcterms:modified xsi:type="dcterms:W3CDTF">2026-01-29T16:38:20Z</dcterms:modified>
</cp:coreProperties>
</file>